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11" documentId="8_{927AF77D-AD3F-49C1-88D5-9A1868BE4B4D}" xr6:coauthVersionLast="47" xr6:coauthVersionMax="47" xr10:uidLastSave="{E6F7C6FD-C3E9-4A9E-9F3D-53788567675D}"/>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<sst xmlns="http://schemas.openxmlformats.org/spreadsheetml/2006/main" count="2181" uniqueCount="1438">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</sst>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0" fillId="0" borderId="0" xfId="0" applyAlignment="1">
      <alignment horizontal="left" wrapText="1"/>
    </xf>
    <xf numFmtId="0" fontId="0" fillId="5" borderId="0" xfId="0" applyFill="1" applyAlignment="1">
      <alignment horizontal="left" vertical="center"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wrapText="1"/>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410"/>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411"/>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29771"/>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29772"/>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29773"/>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29774"/>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29775"/>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29776"/>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29777"/>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29778"/>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29779"/>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29780"/>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29781"/>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29782"/>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29783"/>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29784"/>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29785"/>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29786"/>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29787"/>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29788"/>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ANMERKUNGEN</v>
      </c>
    </row>
    <row r="129" spans="1:20" ht="20.100000000000001" customHeight="1">
      <c r="A129" t="str">
        <f>traduzioni!A181</f>
        <v>Vor dem Bau müssen alle Berechnungen vom verantwortlichen Planer geprüft und freigegeben werden.</v>
      </c>
    </row>
    <row r="130" spans="1:20" ht="15" customHeight="1">
      <c r="A130" t="str">
        <f>traduzioni!A182</f>
        <v>Die Werte der mechanischen Festigkeit und Geometrie beziehen sich auf die Produktzertifizierung.</v>
      </c>
    </row>
    <row r="131" spans="1:20" ht="15" customHeight="1">
      <c r="A131" t="str">
        <f>traduzioni!A183</f>
        <v>Die Überprüfung der Festigkeit des Systems auf der Seite der Verankerung am Beton muss separat gemäß den Angaben in ETA-22/0806 - Anhang E1 durchgeführt werden.</v>
      </c>
    </row>
    <row r="132" spans="1:20" ht="30" customHeight="1">
      <c r="A132" s="238" t="str">
        <f>traduzioni!A184</f>
        <v>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DE</v>
      </c>
      <c r="D1" s="167" t="s">
        <v>358</v>
      </c>
      <c r="E1" s="167" t="s">
        <v>388</v>
      </c>
      <c r="F1" s="194" t="s">
        <v>671</v>
      </c>
      <c r="G1" s="194" t="s">
        <v>672</v>
      </c>
      <c r="H1" s="194" t="s">
        <v>673</v>
      </c>
      <c r="I1" s="194" t="s">
        <v>674</v>
      </c>
    </row>
    <row r="3" spans="1:9">
      <c r="A3" t="str">
        <f>IF($B$1=$D$1,D3,IF($B$1=$E$1,E3,IF($B$1=$F$1,F3,IF($B$1=$G$1,G3,IF($B$1=$H$1,H3,IF($B$1=$I$1,I3,"ERROR"))))))</f>
        <v>Sprache</v>
      </c>
      <c r="D3" t="s">
        <v>363</v>
      </c>
      <c r="E3" t="s">
        <v>484</v>
      </c>
      <c r="F3" s="156" t="s">
        <v>688</v>
      </c>
      <c r="G3" s="156" t="s">
        <v>689</v>
      </c>
      <c r="H3" s="156" t="s">
        <v>690</v>
      </c>
      <c r="I3" s="156" t="s">
        <v>689</v>
      </c>
    </row>
    <row r="4" spans="1:9">
      <c r="A4" t="str">
        <f t="shared" ref="A4:A67" si="0">IF($B$1=$D$1,D4,IF($B$1=$E$1,E4,IF($B$1=$F$1,F4,IF($B$1=$G$1,G4,IF($B$1=$H$1,H4,IF($B$1=$I$1,I4,"ERROR"))))))</f>
        <v>BERECHNUNG TC FUSION</v>
      </c>
      <c r="D4" t="s">
        <v>431</v>
      </c>
      <c r="E4" t="s">
        <v>485</v>
      </c>
      <c r="F4" s="156" t="s">
        <v>691</v>
      </c>
      <c r="G4" s="156" t="s">
        <v>692</v>
      </c>
      <c r="H4" s="156" t="s">
        <v>693</v>
      </c>
      <c r="I4" s="156" t="s">
        <v>694</v>
      </c>
    </row>
    <row r="5" spans="1:9">
      <c r="A5" t="str">
        <f t="shared" si="0"/>
        <v xml:space="preserve">Allgemeine Informationen </v>
      </c>
      <c r="D5" s="6" t="s">
        <v>362</v>
      </c>
      <c r="E5" s="6" t="s">
        <v>486</v>
      </c>
      <c r="F5" s="195" t="s">
        <v>695</v>
      </c>
      <c r="G5" s="195" t="s">
        <v>696</v>
      </c>
      <c r="H5" s="195" t="s">
        <v>697</v>
      </c>
      <c r="I5" s="195" t="s">
        <v>698</v>
      </c>
    </row>
    <row r="6" spans="1:9">
      <c r="A6" t="str">
        <f t="shared" si="0"/>
        <v>Datum</v>
      </c>
      <c r="D6" t="s">
        <v>359</v>
      </c>
      <c r="E6" t="s">
        <v>487</v>
      </c>
      <c r="F6" s="156" t="s">
        <v>699</v>
      </c>
      <c r="G6" s="156" t="s">
        <v>700</v>
      </c>
      <c r="H6" s="156" t="s">
        <v>487</v>
      </c>
      <c r="I6" s="156" t="s">
        <v>359</v>
      </c>
    </row>
    <row r="7" spans="1:9">
      <c r="A7" t="str">
        <f t="shared" si="0"/>
        <v>Projekt</v>
      </c>
      <c r="D7" t="s">
        <v>205</v>
      </c>
      <c r="E7" t="s">
        <v>488</v>
      </c>
      <c r="F7" s="156" t="s">
        <v>701</v>
      </c>
      <c r="G7" s="156" t="s">
        <v>702</v>
      </c>
      <c r="H7" s="156" t="s">
        <v>703</v>
      </c>
      <c r="I7" s="156" t="s">
        <v>704</v>
      </c>
    </row>
    <row r="8" spans="1:9">
      <c r="A8" t="str">
        <f t="shared" si="0"/>
        <v>Planer</v>
      </c>
      <c r="D8" t="s">
        <v>360</v>
      </c>
      <c r="E8" t="s">
        <v>489</v>
      </c>
      <c r="F8" s="156" t="s">
        <v>705</v>
      </c>
      <c r="G8" s="156" t="s">
        <v>706</v>
      </c>
      <c r="H8" s="156" t="s">
        <v>707</v>
      </c>
      <c r="I8" s="156" t="s">
        <v>708</v>
      </c>
    </row>
    <row r="9" spans="1:9">
      <c r="A9" t="str">
        <f t="shared" si="0"/>
        <v>Verbindung Nr.</v>
      </c>
      <c r="D9" t="s">
        <v>361</v>
      </c>
      <c r="E9" t="s">
        <v>490</v>
      </c>
      <c r="F9" s="156" t="s">
        <v>709</v>
      </c>
      <c r="G9" s="156" t="s">
        <v>710</v>
      </c>
      <c r="H9" s="156" t="s">
        <v>711</v>
      </c>
      <c r="I9" s="156" t="s">
        <v>712</v>
      </c>
    </row>
    <row r="10" spans="1:9">
      <c r="A10" t="str">
        <f t="shared" si="0"/>
        <v>Norm</v>
      </c>
      <c r="D10" s="6" t="s">
        <v>432</v>
      </c>
      <c r="E10" s="6" t="s">
        <v>491</v>
      </c>
      <c r="F10" s="195" t="s">
        <v>713</v>
      </c>
      <c r="G10" s="195" t="s">
        <v>432</v>
      </c>
      <c r="H10" s="195" t="s">
        <v>714</v>
      </c>
      <c r="I10" s="195" t="s">
        <v>432</v>
      </c>
    </row>
    <row r="11" spans="1:9" ht="38.25">
      <c r="A11" t="str">
        <f t="shared" si="0"/>
        <v>Wirksame Anzahl in axialer Richtung (nicht erforderlich)</v>
      </c>
      <c r="D11" t="s">
        <v>315</v>
      </c>
      <c r="E11" t="s">
        <v>492</v>
      </c>
      <c r="F11" s="156" t="s">
        <v>1355</v>
      </c>
      <c r="G11" s="156" t="s">
        <v>715</v>
      </c>
      <c r="H11" s="156" t="s">
        <v>716</v>
      </c>
      <c r="I11" s="156" t="s">
        <v>717</v>
      </c>
    </row>
    <row r="12" spans="1:9" ht="38.25">
      <c r="A12" t="str">
        <f t="shared" si="0"/>
        <v>Wirksame Anzahl in Richtung Querkraft (nicht erforderlich)</v>
      </c>
      <c r="D12" t="s">
        <v>316</v>
      </c>
      <c r="E12" t="s">
        <v>493</v>
      </c>
      <c r="F12" s="156" t="s">
        <v>1356</v>
      </c>
      <c r="G12" s="156" t="s">
        <v>718</v>
      </c>
      <c r="H12" s="156" t="s">
        <v>719</v>
      </c>
      <c r="I12" s="156" t="s">
        <v>720</v>
      </c>
    </row>
    <row r="13" spans="1:9">
      <c r="A13" t="str">
        <f t="shared" si="0"/>
        <v>Beanspruchungen</v>
      </c>
      <c r="D13" s="6" t="s">
        <v>420</v>
      </c>
      <c r="E13" s="6" t="s">
        <v>494</v>
      </c>
      <c r="F13" s="195" t="s">
        <v>721</v>
      </c>
      <c r="G13" s="195" t="s">
        <v>722</v>
      </c>
      <c r="H13" s="195" t="s">
        <v>723</v>
      </c>
      <c r="I13" s="195" t="s">
        <v>724</v>
      </c>
    </row>
    <row r="14" spans="1:9">
      <c r="A14" t="str">
        <f t="shared" si="0"/>
        <v xml:space="preserve">Lasteinwirkungsdauer </v>
      </c>
      <c r="C14" s="166"/>
      <c r="D14" s="166" t="s">
        <v>433</v>
      </c>
      <c r="E14" s="166" t="s">
        <v>495</v>
      </c>
      <c r="F14" s="196" t="s">
        <v>725</v>
      </c>
      <c r="G14" s="196" t="s">
        <v>726</v>
      </c>
      <c r="H14" s="196" t="s">
        <v>727</v>
      </c>
      <c r="I14" s="196" t="s">
        <v>728</v>
      </c>
    </row>
    <row r="15" spans="1:9" ht="26.25" thickBot="1">
      <c r="A15" t="str">
        <f t="shared" si="0"/>
        <v>Länge Verbindung</v>
      </c>
      <c r="C15" s="166"/>
      <c r="D15" s="166" t="s">
        <v>153</v>
      </c>
      <c r="E15" s="166" t="s">
        <v>496</v>
      </c>
      <c r="F15" s="196" t="s">
        <v>729</v>
      </c>
      <c r="G15" s="196" t="s">
        <v>730</v>
      </c>
      <c r="H15" s="196" t="s">
        <v>731</v>
      </c>
      <c r="I15" s="196" t="s">
        <v>732</v>
      </c>
    </row>
    <row r="16" spans="1:9" ht="25.5">
      <c r="A16" t="str">
        <f t="shared" si="0"/>
        <v>Normalkraft senkrecht zum Anschluss</v>
      </c>
      <c r="C16" s="166"/>
      <c r="D16" s="208" t="s">
        <v>1398</v>
      </c>
      <c r="E16" s="202" t="s">
        <v>1410</v>
      </c>
      <c r="F16" s="203" t="s">
        <v>1433</v>
      </c>
      <c r="G16" s="203" t="s">
        <v>1409</v>
      </c>
      <c r="H16" s="203" t="s">
        <v>1408</v>
      </c>
      <c r="I16" s="204" t="s">
        <v>1407</v>
      </c>
    </row>
    <row r="17" spans="1:9" ht="25.5">
      <c r="A17" t="str">
        <f t="shared" si="0"/>
        <v>Querkraft in x-Richtung</v>
      </c>
      <c r="C17" s="166"/>
      <c r="D17" s="209" t="s">
        <v>1397</v>
      </c>
      <c r="E17" s="166" t="s">
        <v>1411</v>
      </c>
      <c r="F17" s="196" t="s">
        <v>1435</v>
      </c>
      <c r="G17" s="196" t="s">
        <v>1412</v>
      </c>
      <c r="H17" s="196" t="s">
        <v>1413</v>
      </c>
      <c r="I17" s="205" t="s">
        <v>1414</v>
      </c>
    </row>
    <row r="18" spans="1:9" ht="25.5">
      <c r="A18" t="str">
        <f t="shared" si="0"/>
        <v>Querkraft in z-Richtung</v>
      </c>
      <c r="C18" s="166"/>
      <c r="D18" s="209" t="s">
        <v>1426</v>
      </c>
      <c r="E18" s="166" t="s">
        <v>1427</v>
      </c>
      <c r="F18" s="196" t="s">
        <v>1436</v>
      </c>
      <c r="G18" s="196" t="s">
        <v>1428</v>
      </c>
      <c r="H18" s="196" t="s">
        <v>1429</v>
      </c>
      <c r="I18" s="205" t="s">
        <v>1430</v>
      </c>
    </row>
    <row r="19" spans="1:9" ht="25.5">
      <c r="A19" t="str">
        <f t="shared" si="0"/>
        <v>Biegemoment parallel zur Verbindung</v>
      </c>
      <c r="C19" s="166"/>
      <c r="D19" s="209" t="s">
        <v>1399</v>
      </c>
      <c r="E19" s="166" t="s">
        <v>1419</v>
      </c>
      <c r="F19" s="196" t="s">
        <v>1418</v>
      </c>
      <c r="G19" s="196" t="s">
        <v>1417</v>
      </c>
      <c r="H19" s="196" t="s">
        <v>1416</v>
      </c>
      <c r="I19" s="205" t="s">
        <v>1415</v>
      </c>
    </row>
    <row r="20" spans="1:9" ht="25.5">
      <c r="A20" t="str">
        <f t="shared" si="0"/>
        <v>Untere Fasern unter Zugspannung</v>
      </c>
      <c r="C20" s="166"/>
      <c r="D20" s="209" t="s">
        <v>434</v>
      </c>
      <c r="E20" s="166" t="s">
        <v>497</v>
      </c>
      <c r="F20" s="196" t="s">
        <v>1357</v>
      </c>
      <c r="G20" s="196" t="s">
        <v>733</v>
      </c>
      <c r="H20" s="196" t="s">
        <v>734</v>
      </c>
      <c r="I20" s="205" t="s">
        <v>735</v>
      </c>
    </row>
    <row r="21" spans="1:9" ht="13.5" thickBot="1">
      <c r="A21" t="str">
        <f t="shared" si="0"/>
        <v>Moment senkrecht zur Verbindung, Ebene-xz</v>
      </c>
      <c r="C21" s="166"/>
      <c r="D21" s="210" t="s">
        <v>1406</v>
      </c>
      <c r="E21" s="206" t="s">
        <v>1420</v>
      </c>
      <c r="F21" s="206" t="s">
        <v>1434</v>
      </c>
      <c r="G21" s="206" t="s">
        <v>1421</v>
      </c>
      <c r="H21" s="206" t="s">
        <v>1422</v>
      </c>
      <c r="I21" s="207" t="s">
        <v>1423</v>
      </c>
    </row>
    <row r="22" spans="1:9">
      <c r="A22" t="str">
        <f t="shared" si="0"/>
        <v>+ Zugkraft</v>
      </c>
      <c r="D22" s="151" t="s">
        <v>435</v>
      </c>
      <c r="E22" s="151" t="s">
        <v>498</v>
      </c>
      <c r="F22" s="197" t="s">
        <v>736</v>
      </c>
      <c r="G22" s="197" t="s">
        <v>737</v>
      </c>
      <c r="H22" s="197" t="s">
        <v>498</v>
      </c>
      <c r="I22" s="197" t="s">
        <v>738</v>
      </c>
    </row>
    <row r="23" spans="1:9">
      <c r="A23" t="str">
        <f t="shared" si="0"/>
        <v>- Druckkraft</v>
      </c>
      <c r="D23" s="151" t="s">
        <v>436</v>
      </c>
      <c r="E23" s="151" t="s">
        <v>499</v>
      </c>
      <c r="F23" s="197" t="s">
        <v>739</v>
      </c>
      <c r="G23" s="197" t="s">
        <v>740</v>
      </c>
      <c r="H23" s="197" t="s">
        <v>499</v>
      </c>
      <c r="I23" s="197" t="s">
        <v>741</v>
      </c>
    </row>
    <row r="24" spans="1:9" ht="25.5">
      <c r="A24" t="str">
        <f t="shared" si="0"/>
        <v>+ untere Fasern unter Zugspannung</v>
      </c>
      <c r="D24" s="151" t="s">
        <v>437</v>
      </c>
      <c r="E24" s="151" t="s">
        <v>500</v>
      </c>
      <c r="F24" s="197" t="s">
        <v>1358</v>
      </c>
      <c r="G24" s="197" t="s">
        <v>742</v>
      </c>
      <c r="H24" s="197" t="s">
        <v>743</v>
      </c>
      <c r="I24" s="197" t="s">
        <v>744</v>
      </c>
    </row>
    <row r="25" spans="1:9" ht="25.5">
      <c r="A25" t="str">
        <f t="shared" si="0"/>
        <v>- obere Fasern unter Zugspannung</v>
      </c>
      <c r="D25" s="151" t="s">
        <v>438</v>
      </c>
      <c r="E25" s="151" t="s">
        <v>501</v>
      </c>
      <c r="F25" s="197" t="s">
        <v>1359</v>
      </c>
      <c r="G25" s="197" t="s">
        <v>745</v>
      </c>
      <c r="H25" s="197" t="s">
        <v>746</v>
      </c>
      <c r="I25" s="197" t="s">
        <v>747</v>
      </c>
    </row>
    <row r="26" spans="1:9">
      <c r="A26" t="str">
        <f t="shared" si="0"/>
        <v>Dauerhaft</v>
      </c>
      <c r="D26" t="s">
        <v>439</v>
      </c>
      <c r="E26" t="s">
        <v>502</v>
      </c>
      <c r="F26" s="156" t="s">
        <v>748</v>
      </c>
      <c r="G26" s="156" t="s">
        <v>439</v>
      </c>
      <c r="H26" s="156" t="s">
        <v>439</v>
      </c>
      <c r="I26" s="156" t="s">
        <v>439</v>
      </c>
    </row>
    <row r="27" spans="1:9">
      <c r="A27" t="str">
        <f t="shared" si="0"/>
        <v>Lang</v>
      </c>
      <c r="D27" t="s">
        <v>79</v>
      </c>
      <c r="E27" t="s">
        <v>680</v>
      </c>
      <c r="F27" s="156" t="s">
        <v>749</v>
      </c>
      <c r="G27" s="156" t="s">
        <v>750</v>
      </c>
      <c r="H27" s="156" t="s">
        <v>751</v>
      </c>
      <c r="I27" s="156" t="s">
        <v>752</v>
      </c>
    </row>
    <row r="28" spans="1:9">
      <c r="A28" t="str">
        <f t="shared" si="0"/>
        <v>Mittel</v>
      </c>
      <c r="D28" t="s">
        <v>80</v>
      </c>
      <c r="E28" t="s">
        <v>681</v>
      </c>
      <c r="F28" s="156" t="s">
        <v>753</v>
      </c>
      <c r="G28" s="156" t="s">
        <v>80</v>
      </c>
      <c r="H28" s="156" t="s">
        <v>754</v>
      </c>
      <c r="I28" s="156" t="s">
        <v>755</v>
      </c>
    </row>
    <row r="29" spans="1:9">
      <c r="A29" t="str">
        <f t="shared" si="0"/>
        <v>Kurz</v>
      </c>
      <c r="D29" t="s">
        <v>76</v>
      </c>
      <c r="E29" t="s">
        <v>682</v>
      </c>
      <c r="F29" s="156" t="s">
        <v>756</v>
      </c>
      <c r="G29" s="156" t="s">
        <v>757</v>
      </c>
      <c r="H29" s="156" t="s">
        <v>758</v>
      </c>
      <c r="I29" s="156" t="s">
        <v>759</v>
      </c>
    </row>
    <row r="30" spans="1:9">
      <c r="A30" t="str">
        <f t="shared" si="0"/>
        <v>Sofort wirkend</v>
      </c>
      <c r="D30" t="s">
        <v>81</v>
      </c>
      <c r="E30" t="s">
        <v>683</v>
      </c>
      <c r="F30" s="156" t="s">
        <v>760</v>
      </c>
      <c r="G30" s="156" t="s">
        <v>761</v>
      </c>
      <c r="H30" s="156" t="s">
        <v>762</v>
      </c>
      <c r="I30" s="156" t="s">
        <v>763</v>
      </c>
    </row>
    <row r="31" spans="1:9">
      <c r="A31" t="str">
        <f t="shared" si="0"/>
        <v>Kurz/Sofort wirkend</v>
      </c>
      <c r="D31" t="s">
        <v>440</v>
      </c>
      <c r="E31" t="s">
        <v>684</v>
      </c>
      <c r="F31" s="156" t="s">
        <v>764</v>
      </c>
      <c r="G31" s="156" t="s">
        <v>765</v>
      </c>
      <c r="H31" s="156" t="s">
        <v>766</v>
      </c>
      <c r="I31" s="156" t="s">
        <v>767</v>
      </c>
    </row>
    <row r="32" spans="1:9">
      <c r="A32" t="str">
        <f t="shared" si="0"/>
        <v>Zusammensetzung Platte</v>
      </c>
      <c r="D32" s="6" t="s">
        <v>0</v>
      </c>
      <c r="E32" s="6" t="s">
        <v>503</v>
      </c>
      <c r="F32" s="195" t="s">
        <v>768</v>
      </c>
      <c r="G32" s="195" t="s">
        <v>769</v>
      </c>
      <c r="H32" s="195" t="s">
        <v>770</v>
      </c>
      <c r="I32" s="195" t="s">
        <v>771</v>
      </c>
    </row>
    <row r="33" spans="1:9">
      <c r="A33" t="str">
        <f t="shared" si="0"/>
        <v>Klasse</v>
      </c>
      <c r="D33" t="s">
        <v>82</v>
      </c>
      <c r="E33" t="s">
        <v>504</v>
      </c>
      <c r="F33" s="156" t="s">
        <v>772</v>
      </c>
      <c r="G33" s="156" t="s">
        <v>773</v>
      </c>
      <c r="H33" s="156" t="s">
        <v>82</v>
      </c>
      <c r="I33" s="156" t="s">
        <v>82</v>
      </c>
    </row>
    <row r="34" spans="1:9">
      <c r="A34" t="str">
        <f t="shared" si="0"/>
        <v>Anz. Schichten</v>
      </c>
      <c r="D34" t="s">
        <v>17</v>
      </c>
      <c r="E34" t="s">
        <v>505</v>
      </c>
      <c r="F34" s="156" t="s">
        <v>774</v>
      </c>
      <c r="G34" s="156" t="s">
        <v>775</v>
      </c>
      <c r="H34" s="156" t="s">
        <v>776</v>
      </c>
      <c r="I34" s="156" t="s">
        <v>777</v>
      </c>
    </row>
    <row r="35" spans="1:9">
      <c r="A35" t="str">
        <f t="shared" si="0"/>
        <v>Typ</v>
      </c>
      <c r="D35" t="s">
        <v>16</v>
      </c>
      <c r="E35" t="s">
        <v>506</v>
      </c>
      <c r="F35" s="156" t="s">
        <v>778</v>
      </c>
      <c r="G35" s="156" t="s">
        <v>16</v>
      </c>
      <c r="H35" s="156" t="s">
        <v>506</v>
      </c>
      <c r="I35" s="156" t="s">
        <v>16</v>
      </c>
    </row>
    <row r="36" spans="1:9">
      <c r="A36" t="str">
        <f t="shared" si="0"/>
        <v>Stärke</v>
      </c>
      <c r="D36" t="s">
        <v>57</v>
      </c>
      <c r="E36" t="s">
        <v>507</v>
      </c>
      <c r="F36" s="156" t="s">
        <v>779</v>
      </c>
      <c r="G36" s="156" t="s">
        <v>780</v>
      </c>
      <c r="H36" s="156" t="s">
        <v>781</v>
      </c>
      <c r="I36" s="156" t="s">
        <v>782</v>
      </c>
    </row>
    <row r="37" spans="1:9">
      <c r="A37" t="str">
        <f t="shared" si="0"/>
        <v xml:space="preserve">Ausrichtung </v>
      </c>
      <c r="D37" t="s">
        <v>104</v>
      </c>
      <c r="E37" t="s">
        <v>508</v>
      </c>
      <c r="F37" s="156" t="s">
        <v>783</v>
      </c>
      <c r="G37" s="156" t="s">
        <v>784</v>
      </c>
      <c r="H37" s="156" t="s">
        <v>785</v>
      </c>
      <c r="I37" s="156" t="s">
        <v>786</v>
      </c>
    </row>
    <row r="38" spans="1:9" ht="51">
      <c r="A38" t="str">
        <f t="shared" si="0"/>
        <v>L-Fasern äußere Schichten senkrecht zur Verbindungslinie</v>
      </c>
      <c r="D38" s="166" t="s">
        <v>441</v>
      </c>
      <c r="E38" s="166" t="s">
        <v>509</v>
      </c>
      <c r="F38" s="196" t="s">
        <v>787</v>
      </c>
      <c r="G38" s="196" t="s">
        <v>788</v>
      </c>
      <c r="H38" s="196" t="s">
        <v>789</v>
      </c>
      <c r="I38" s="196" t="s">
        <v>790</v>
      </c>
    </row>
    <row r="39" spans="1:9" ht="38.25">
      <c r="A39" t="str">
        <f t="shared" si="0"/>
        <v>T-Fasern äußere Schichten parallel zur Verbindungslinie</v>
      </c>
      <c r="D39" s="166" t="s">
        <v>665</v>
      </c>
      <c r="E39" s="166" t="s">
        <v>666</v>
      </c>
      <c r="F39" s="196" t="s">
        <v>791</v>
      </c>
      <c r="G39" s="196" t="s">
        <v>792</v>
      </c>
      <c r="H39" s="196" t="s">
        <v>793</v>
      </c>
      <c r="I39" s="196" t="s">
        <v>794</v>
      </c>
    </row>
    <row r="40" spans="1:9">
      <c r="A40" t="str">
        <f t="shared" si="0"/>
        <v>Schrauben</v>
      </c>
      <c r="D40" s="6" t="s">
        <v>115</v>
      </c>
      <c r="E40" s="6" t="s">
        <v>510</v>
      </c>
      <c r="F40" s="195" t="s">
        <v>795</v>
      </c>
      <c r="G40" s="195" t="s">
        <v>796</v>
      </c>
      <c r="H40" s="195" t="s">
        <v>797</v>
      </c>
      <c r="I40" s="195" t="s">
        <v>798</v>
      </c>
    </row>
    <row r="41" spans="1:9">
      <c r="A41" t="str">
        <f t="shared" si="0"/>
        <v>Schraubentyp</v>
      </c>
      <c r="D41" t="s">
        <v>50</v>
      </c>
      <c r="E41" t="s">
        <v>511</v>
      </c>
      <c r="F41" s="156" t="s">
        <v>1360</v>
      </c>
      <c r="G41" s="156" t="s">
        <v>799</v>
      </c>
      <c r="H41" s="156" t="s">
        <v>800</v>
      </c>
      <c r="I41" s="156" t="s">
        <v>801</v>
      </c>
    </row>
    <row r="42" spans="1:9">
      <c r="A42" t="str">
        <f t="shared" si="0"/>
        <v>Durchmesser</v>
      </c>
      <c r="D42" t="s">
        <v>364</v>
      </c>
      <c r="E42" t="s">
        <v>512</v>
      </c>
      <c r="F42" s="156" t="s">
        <v>802</v>
      </c>
      <c r="G42" s="156" t="s">
        <v>803</v>
      </c>
      <c r="H42" s="156" t="s">
        <v>804</v>
      </c>
      <c r="I42" s="156" t="s">
        <v>805</v>
      </c>
    </row>
    <row r="43" spans="1:9">
      <c r="A43" t="str">
        <f t="shared" si="0"/>
        <v xml:space="preserve">Länge </v>
      </c>
      <c r="D43" t="s">
        <v>365</v>
      </c>
      <c r="E43" t="s">
        <v>513</v>
      </c>
      <c r="F43" s="156" t="s">
        <v>806</v>
      </c>
      <c r="G43" s="156" t="s">
        <v>807</v>
      </c>
      <c r="H43" s="156" t="s">
        <v>808</v>
      </c>
      <c r="I43" s="156" t="s">
        <v>809</v>
      </c>
    </row>
    <row r="44" spans="1:9">
      <c r="A44" t="str">
        <f t="shared" si="0"/>
        <v>Oberer Abstand</v>
      </c>
      <c r="D44" t="s">
        <v>398</v>
      </c>
      <c r="E44" t="s">
        <v>514</v>
      </c>
      <c r="F44" s="156" t="s">
        <v>810</v>
      </c>
      <c r="G44" s="156" t="s">
        <v>811</v>
      </c>
      <c r="H44" s="156" t="s">
        <v>812</v>
      </c>
      <c r="I44" s="156" t="s">
        <v>813</v>
      </c>
    </row>
    <row r="45" spans="1:9">
      <c r="A45" t="str">
        <f t="shared" si="0"/>
        <v>Unterer Abstand</v>
      </c>
      <c r="D45" t="s">
        <v>399</v>
      </c>
      <c r="E45" t="s">
        <v>515</v>
      </c>
      <c r="F45" s="156" t="s">
        <v>814</v>
      </c>
      <c r="G45" s="156" t="s">
        <v>815</v>
      </c>
      <c r="H45" s="156" t="s">
        <v>816</v>
      </c>
      <c r="I45" s="156" t="s">
        <v>817</v>
      </c>
    </row>
    <row r="46" spans="1:9">
      <c r="A46" t="str">
        <f t="shared" si="0"/>
        <v>Schalung (Y/N)</v>
      </c>
      <c r="D46" s="166" t="s">
        <v>419</v>
      </c>
      <c r="E46" s="166" t="s">
        <v>516</v>
      </c>
      <c r="F46" s="196" t="s">
        <v>1361</v>
      </c>
      <c r="G46" s="196" t="s">
        <v>818</v>
      </c>
      <c r="H46" s="196" t="s">
        <v>819</v>
      </c>
      <c r="I46" s="196" t="s">
        <v>820</v>
      </c>
    </row>
    <row r="47" spans="1:9" ht="25.5">
      <c r="A47" t="str">
        <f t="shared" si="0"/>
        <v>Anzahl obere Schrauben/Meter</v>
      </c>
      <c r="D47" t="s">
        <v>366</v>
      </c>
      <c r="E47" t="s">
        <v>517</v>
      </c>
      <c r="F47" s="156" t="s">
        <v>821</v>
      </c>
      <c r="G47" s="156" t="s">
        <v>822</v>
      </c>
      <c r="H47" s="156" t="s">
        <v>823</v>
      </c>
      <c r="I47" s="156" t="s">
        <v>824</v>
      </c>
    </row>
    <row r="48" spans="1:9" ht="25.5">
      <c r="A48" t="str">
        <f t="shared" si="0"/>
        <v>Anzahl untere Schrauben/Meter</v>
      </c>
      <c r="D48" t="s">
        <v>367</v>
      </c>
      <c r="E48" t="s">
        <v>518</v>
      </c>
      <c r="F48" s="156" t="s">
        <v>825</v>
      </c>
      <c r="G48" s="156" t="s">
        <v>826</v>
      </c>
      <c r="H48" s="156" t="s">
        <v>827</v>
      </c>
      <c r="I48" s="156" t="s">
        <v>828</v>
      </c>
    </row>
    <row r="49" spans="1:9" ht="25.5">
      <c r="A49" t="str">
        <f t="shared" si="0"/>
        <v>Min. Länge Verankerung (Beton)</v>
      </c>
      <c r="D49" t="s">
        <v>368</v>
      </c>
      <c r="E49" t="s">
        <v>519</v>
      </c>
      <c r="F49" s="156" t="s">
        <v>1362</v>
      </c>
      <c r="G49" s="156" t="s">
        <v>829</v>
      </c>
      <c r="H49" s="156" t="s">
        <v>830</v>
      </c>
      <c r="I49" s="156" t="s">
        <v>831</v>
      </c>
    </row>
    <row r="50" spans="1:9" ht="38.25">
      <c r="A50" t="str">
        <f t="shared" si="0"/>
        <v>Min. Länge Überlappung (Beton)</v>
      </c>
      <c r="D50" t="s">
        <v>369</v>
      </c>
      <c r="E50" t="s">
        <v>520</v>
      </c>
      <c r="F50" s="156" t="s">
        <v>1363</v>
      </c>
      <c r="G50" s="156" t="s">
        <v>832</v>
      </c>
      <c r="H50" s="156" t="s">
        <v>833</v>
      </c>
      <c r="I50" s="156" t="s">
        <v>834</v>
      </c>
    </row>
    <row r="51" spans="1:9" ht="25.5">
      <c r="A51" t="str">
        <f t="shared" si="0"/>
        <v>Min. Penetrationslänge (Holz)</v>
      </c>
      <c r="D51" t="s">
        <v>370</v>
      </c>
      <c r="E51" t="s">
        <v>521</v>
      </c>
      <c r="F51" s="156" t="s">
        <v>1364</v>
      </c>
      <c r="G51" s="156" t="s">
        <v>835</v>
      </c>
      <c r="H51" s="156" t="s">
        <v>836</v>
      </c>
      <c r="I51" s="156" t="s">
        <v>837</v>
      </c>
    </row>
    <row r="52" spans="1:9">
      <c r="A52" t="str">
        <f t="shared" si="0"/>
        <v>Randabstand a4t</v>
      </c>
      <c r="D52" t="s">
        <v>328</v>
      </c>
      <c r="E52" t="s">
        <v>522</v>
      </c>
      <c r="F52" s="156" t="s">
        <v>838</v>
      </c>
      <c r="G52" s="156" t="s">
        <v>839</v>
      </c>
      <c r="H52" s="156" t="s">
        <v>840</v>
      </c>
      <c r="I52" s="156" t="s">
        <v>841</v>
      </c>
    </row>
    <row r="53" spans="1:9" ht="25.5">
      <c r="A53" t="str">
        <f t="shared" si="0"/>
        <v>Minimaler Randabstand a4t</v>
      </c>
      <c r="D53" t="s">
        <v>61</v>
      </c>
      <c r="E53" t="s">
        <v>523</v>
      </c>
      <c r="F53" s="156" t="s">
        <v>842</v>
      </c>
      <c r="G53" s="156" t="s">
        <v>843</v>
      </c>
      <c r="H53" s="156" t="s">
        <v>844</v>
      </c>
      <c r="I53" s="156" t="s">
        <v>845</v>
      </c>
    </row>
    <row r="54" spans="1:9">
      <c r="A54" t="str">
        <f t="shared" si="0"/>
        <v>Beton</v>
      </c>
      <c r="D54" s="6" t="s">
        <v>23</v>
      </c>
      <c r="E54" s="6" t="s">
        <v>327</v>
      </c>
      <c r="F54" s="195" t="s">
        <v>846</v>
      </c>
      <c r="G54" s="195" t="s">
        <v>847</v>
      </c>
      <c r="H54" s="195" t="s">
        <v>848</v>
      </c>
      <c r="I54" s="195" t="s">
        <v>849</v>
      </c>
    </row>
    <row r="55" spans="1:9">
      <c r="A55" t="str">
        <f t="shared" si="0"/>
        <v>Klasse Beton</v>
      </c>
      <c r="D55" s="166" t="s">
        <v>63</v>
      </c>
      <c r="E55" s="166" t="s">
        <v>524</v>
      </c>
      <c r="F55" s="196" t="s">
        <v>850</v>
      </c>
      <c r="G55" s="196" t="s">
        <v>851</v>
      </c>
      <c r="H55" s="196" t="s">
        <v>852</v>
      </c>
      <c r="I55" s="196" t="s">
        <v>853</v>
      </c>
    </row>
    <row r="56" spans="1:9">
      <c r="A56" t="str">
        <f t="shared" si="0"/>
        <v>Durchmesser Bügel</v>
      </c>
      <c r="D56" s="166" t="s">
        <v>24</v>
      </c>
      <c r="E56" s="166" t="s">
        <v>644</v>
      </c>
      <c r="F56" s="196" t="s">
        <v>854</v>
      </c>
      <c r="G56" s="196" t="s">
        <v>855</v>
      </c>
      <c r="H56" s="196" t="s">
        <v>856</v>
      </c>
      <c r="I56" s="196" t="s">
        <v>857</v>
      </c>
    </row>
    <row r="57" spans="1:9" ht="25.5">
      <c r="A57" t="str">
        <f t="shared" si="0"/>
        <v>Durchmesser Längseisen</v>
      </c>
      <c r="D57" s="166" t="s">
        <v>400</v>
      </c>
      <c r="E57" s="166" t="s">
        <v>525</v>
      </c>
      <c r="F57" s="196" t="s">
        <v>858</v>
      </c>
      <c r="G57" s="196" t="s">
        <v>859</v>
      </c>
      <c r="H57" s="196" t="s">
        <v>860</v>
      </c>
      <c r="I57" s="196" t="s">
        <v>861</v>
      </c>
    </row>
    <row r="58" spans="1:9" ht="25.5">
      <c r="A58" t="str">
        <f t="shared" si="0"/>
        <v>Korndurchmesser (*)</v>
      </c>
      <c r="D58" s="166" t="s">
        <v>669</v>
      </c>
      <c r="E58" s="166" t="s">
        <v>670</v>
      </c>
      <c r="F58" s="196" t="s">
        <v>1365</v>
      </c>
      <c r="G58" s="196" t="s">
        <v>862</v>
      </c>
      <c r="H58" s="196" t="s">
        <v>863</v>
      </c>
      <c r="I58" s="196" t="s">
        <v>864</v>
      </c>
    </row>
    <row r="59" spans="1:9" ht="25.5">
      <c r="A59" t="str">
        <f t="shared" si="0"/>
        <v>Klasse Umweltexposition</v>
      </c>
      <c r="D59" s="166" t="s">
        <v>384</v>
      </c>
      <c r="E59" s="166" t="s">
        <v>526</v>
      </c>
      <c r="F59" s="196" t="s">
        <v>865</v>
      </c>
      <c r="G59" s="196" t="s">
        <v>866</v>
      </c>
      <c r="H59" s="196" t="s">
        <v>867</v>
      </c>
      <c r="I59" s="196" t="s">
        <v>868</v>
      </c>
    </row>
    <row r="60" spans="1:9" ht="25.5">
      <c r="A60" t="str">
        <f t="shared" si="0"/>
        <v>Min. Betondeckung Bügel</v>
      </c>
      <c r="D60" s="166" t="s">
        <v>401</v>
      </c>
      <c r="E60" s="166" t="s">
        <v>645</v>
      </c>
      <c r="F60" s="196" t="s">
        <v>869</v>
      </c>
      <c r="G60" s="196" t="s">
        <v>870</v>
      </c>
      <c r="H60" s="196" t="s">
        <v>871</v>
      </c>
      <c r="I60" s="196" t="s">
        <v>872</v>
      </c>
    </row>
    <row r="61" spans="1:9" ht="25.5">
      <c r="A61" t="str">
        <f t="shared" si="0"/>
        <v>Min. Betondeckung Längsbewehrung</v>
      </c>
      <c r="D61" s="166" t="s">
        <v>402</v>
      </c>
      <c r="E61" s="166" t="s">
        <v>527</v>
      </c>
      <c r="F61" s="196" t="s">
        <v>1366</v>
      </c>
      <c r="G61" s="196" t="s">
        <v>873</v>
      </c>
      <c r="H61" s="196" t="s">
        <v>874</v>
      </c>
      <c r="I61" s="196" t="s">
        <v>875</v>
      </c>
    </row>
    <row r="62" spans="1:9" ht="25.5">
      <c r="A62" t="str">
        <f t="shared" si="0"/>
        <v>Abstand Achse Längseisen</v>
      </c>
      <c r="D62" s="166" t="s">
        <v>49</v>
      </c>
      <c r="E62" s="166" t="s">
        <v>528</v>
      </c>
      <c r="F62" s="196" t="s">
        <v>876</v>
      </c>
      <c r="G62" s="196" t="s">
        <v>877</v>
      </c>
      <c r="H62" s="196" t="s">
        <v>878</v>
      </c>
      <c r="I62" s="196" t="s">
        <v>879</v>
      </c>
    </row>
    <row r="63" spans="1:9">
      <c r="A63" t="str">
        <f t="shared" si="0"/>
        <v>Min. Breite Aufkantung</v>
      </c>
      <c r="D63" t="s">
        <v>403</v>
      </c>
      <c r="E63" t="s">
        <v>529</v>
      </c>
      <c r="F63" s="156" t="s">
        <v>880</v>
      </c>
      <c r="G63" s="156" t="s">
        <v>881</v>
      </c>
      <c r="H63" s="156" t="s">
        <v>882</v>
      </c>
      <c r="I63" s="156" t="s">
        <v>883</v>
      </c>
    </row>
    <row r="64" spans="1:9">
      <c r="A64" t="str">
        <f t="shared" si="0"/>
        <v>Festigkeiten</v>
      </c>
      <c r="D64" s="6" t="s">
        <v>106</v>
      </c>
      <c r="E64" s="6" t="s">
        <v>530</v>
      </c>
      <c r="F64" s="195" t="s">
        <v>884</v>
      </c>
      <c r="G64" s="195" t="s">
        <v>885</v>
      </c>
      <c r="H64" s="195" t="s">
        <v>886</v>
      </c>
      <c r="I64" s="195" t="s">
        <v>887</v>
      </c>
    </row>
    <row r="65" spans="1:9" ht="38.25">
      <c r="A65" t="str">
        <f t="shared" si="0"/>
        <v>Druckfestigkeit Holz (Design)</v>
      </c>
      <c r="D65" t="s">
        <v>107</v>
      </c>
      <c r="E65" t="s">
        <v>531</v>
      </c>
      <c r="F65" s="156" t="s">
        <v>888</v>
      </c>
      <c r="G65" s="156" t="s">
        <v>889</v>
      </c>
      <c r="H65" s="156" t="s">
        <v>890</v>
      </c>
      <c r="I65" s="156" t="s">
        <v>891</v>
      </c>
    </row>
    <row r="66" spans="1:9" ht="38.25">
      <c r="A66" t="str">
        <f t="shared" si="0"/>
        <v>Druckfestigkeit Beton (Design)</v>
      </c>
      <c r="D66" t="s">
        <v>108</v>
      </c>
      <c r="E66" t="s">
        <v>532</v>
      </c>
      <c r="F66" s="156" t="s">
        <v>892</v>
      </c>
      <c r="G66" s="156" t="s">
        <v>893</v>
      </c>
      <c r="H66" s="156" t="s">
        <v>894</v>
      </c>
      <c r="I66" s="156" t="s">
        <v>895</v>
      </c>
    </row>
    <row r="67" spans="1:9">
      <c r="A67" t="str">
        <f t="shared" si="0"/>
        <v>min(T,CA)</v>
      </c>
      <c r="D67" t="s">
        <v>109</v>
      </c>
      <c r="E67" t="s">
        <v>533</v>
      </c>
      <c r="F67" s="156" t="s">
        <v>109</v>
      </c>
      <c r="G67" s="156" t="s">
        <v>109</v>
      </c>
      <c r="H67" s="156" t="s">
        <v>109</v>
      </c>
      <c r="I67" s="156" t="s">
        <v>109</v>
      </c>
    </row>
    <row r="68" spans="1:9">
      <c r="A68" t="str">
        <f t="shared" ref="A68:A131" si="1">IF($B$1=$D$1,D68,IF($B$1=$E$1,E68,IF($B$1=$F$1,F68,IF($B$1=$G$1,G68,IF($B$1=$H$1,H68,IF($B$1=$I$1,I68,"ERROR"))))))</f>
        <v>Verbundspannung</v>
      </c>
      <c r="D68" t="s">
        <v>101</v>
      </c>
      <c r="E68" t="s">
        <v>534</v>
      </c>
      <c r="F68" s="156" t="s">
        <v>896</v>
      </c>
      <c r="G68" s="156" t="s">
        <v>897</v>
      </c>
      <c r="H68" s="156" t="s">
        <v>898</v>
      </c>
      <c r="I68" s="156" t="s">
        <v>899</v>
      </c>
    </row>
    <row r="69" spans="1:9">
      <c r="A69" t="str">
        <f t="shared" si="1"/>
        <v>Wirksame Geometrie</v>
      </c>
      <c r="D69" s="6" t="s">
        <v>52</v>
      </c>
      <c r="E69" s="6" t="s">
        <v>535</v>
      </c>
      <c r="F69" s="195" t="s">
        <v>900</v>
      </c>
      <c r="G69" s="195" t="s">
        <v>901</v>
      </c>
      <c r="H69" s="195" t="s">
        <v>902</v>
      </c>
      <c r="I69" s="195" t="s">
        <v>903</v>
      </c>
    </row>
    <row r="70" spans="1:9" ht="25.5">
      <c r="A70" t="str">
        <f t="shared" si="1"/>
        <v>Abstand Achse Längseisen</v>
      </c>
      <c r="D70" t="s">
        <v>49</v>
      </c>
      <c r="E70" t="s">
        <v>536</v>
      </c>
      <c r="F70" s="156" t="s">
        <v>876</v>
      </c>
      <c r="G70" s="156" t="s">
        <v>877</v>
      </c>
      <c r="H70" s="156" t="s">
        <v>878</v>
      </c>
      <c r="I70" s="156" t="s">
        <v>879</v>
      </c>
    </row>
    <row r="71" spans="1:9" ht="25.5">
      <c r="A71" t="str">
        <f t="shared" si="1"/>
        <v>Wirksame Breite Betonbalken</v>
      </c>
      <c r="D71" s="166" t="s">
        <v>404</v>
      </c>
      <c r="E71" s="166" t="s">
        <v>537</v>
      </c>
      <c r="F71" s="196" t="s">
        <v>1367</v>
      </c>
      <c r="G71" s="196" t="s">
        <v>904</v>
      </c>
      <c r="H71" s="196" t="s">
        <v>905</v>
      </c>
      <c r="I71" s="196" t="s">
        <v>906</v>
      </c>
    </row>
    <row r="72" spans="1:9" ht="25.5">
      <c r="A72" t="str">
        <f t="shared" si="1"/>
        <v>Länge Überlappung</v>
      </c>
      <c r="D72" s="166" t="s">
        <v>56</v>
      </c>
      <c r="E72" s="166" t="s">
        <v>538</v>
      </c>
      <c r="F72" s="196" t="s">
        <v>907</v>
      </c>
      <c r="G72" s="196" t="s">
        <v>908</v>
      </c>
      <c r="H72" s="196" t="s">
        <v>909</v>
      </c>
      <c r="I72" s="196" t="s">
        <v>910</v>
      </c>
    </row>
    <row r="73" spans="1:9" ht="25.5">
      <c r="A73" t="str">
        <f t="shared" si="1"/>
        <v>Länge Verankerung</v>
      </c>
      <c r="D73" s="166" t="s">
        <v>331</v>
      </c>
      <c r="E73" s="166" t="s">
        <v>539</v>
      </c>
      <c r="F73" s="196" t="s">
        <v>911</v>
      </c>
      <c r="G73" s="196" t="s">
        <v>912</v>
      </c>
      <c r="H73" s="196" t="s">
        <v>913</v>
      </c>
      <c r="I73" s="196" t="s">
        <v>914</v>
      </c>
    </row>
    <row r="74" spans="1:9" ht="38.25">
      <c r="A74" t="str">
        <f t="shared" si="1"/>
        <v>Abstand zur tatsächlichen Kante der Schrauben</v>
      </c>
      <c r="D74" s="166" t="s">
        <v>60</v>
      </c>
      <c r="E74" s="166" t="s">
        <v>620</v>
      </c>
      <c r="F74" s="196" t="s">
        <v>1368</v>
      </c>
      <c r="G74" s="196" t="s">
        <v>915</v>
      </c>
      <c r="H74" s="196" t="s">
        <v>916</v>
      </c>
      <c r="I74" s="196" t="s">
        <v>917</v>
      </c>
    </row>
    <row r="75" spans="1:9" ht="38.25">
      <c r="A75" t="str">
        <f t="shared" si="1"/>
        <v>Überprüfung der Kohärenz Position Schrauben/Bewehrung</v>
      </c>
      <c r="D75" s="166" t="s">
        <v>329</v>
      </c>
      <c r="E75" s="166" t="s">
        <v>540</v>
      </c>
      <c r="F75" s="196" t="s">
        <v>1369</v>
      </c>
      <c r="G75" s="196" t="s">
        <v>918</v>
      </c>
      <c r="H75" s="196" t="s">
        <v>919</v>
      </c>
      <c r="I75" s="196" t="s">
        <v>920</v>
      </c>
    </row>
    <row r="76" spans="1:9" ht="25.5">
      <c r="A76" t="str">
        <f t="shared" si="1"/>
        <v>Abstand Schrauben oberer Rand</v>
      </c>
      <c r="D76" s="166" t="s">
        <v>247</v>
      </c>
      <c r="E76" s="166" t="s">
        <v>541</v>
      </c>
      <c r="F76" s="196" t="s">
        <v>921</v>
      </c>
      <c r="G76" s="196" t="s">
        <v>922</v>
      </c>
      <c r="H76" s="196" t="s">
        <v>923</v>
      </c>
      <c r="I76" s="196" t="s">
        <v>924</v>
      </c>
    </row>
    <row r="77" spans="1:9" ht="38.25">
      <c r="A77" t="str">
        <f t="shared" si="1"/>
        <v>Länge Schraubengewinde BET(*)</v>
      </c>
      <c r="D77" t="s">
        <v>372</v>
      </c>
      <c r="E77" t="s">
        <v>542</v>
      </c>
      <c r="F77" s="156" t="s">
        <v>925</v>
      </c>
      <c r="G77" s="156" t="s">
        <v>926</v>
      </c>
      <c r="H77" s="156" t="s">
        <v>927</v>
      </c>
      <c r="I77" s="156" t="s">
        <v>928</v>
      </c>
    </row>
    <row r="78" spans="1:9" ht="25.5">
      <c r="A78" t="str">
        <f t="shared" si="1"/>
        <v>Länge Schraubengewinde Holz</v>
      </c>
      <c r="D78" t="s">
        <v>86</v>
      </c>
      <c r="E78" t="s">
        <v>543</v>
      </c>
      <c r="F78" s="156" t="s">
        <v>929</v>
      </c>
      <c r="G78" s="156" t="s">
        <v>930</v>
      </c>
      <c r="H78" s="156" t="s">
        <v>931</v>
      </c>
      <c r="I78" s="156" t="s">
        <v>932</v>
      </c>
    </row>
    <row r="79" spans="1:9" ht="38.25">
      <c r="A79" t="str">
        <f t="shared" si="1"/>
        <v>Wirksame Länge Schraubengewinde Holz</v>
      </c>
      <c r="D79" t="s">
        <v>85</v>
      </c>
      <c r="E79" t="s">
        <v>544</v>
      </c>
      <c r="F79" s="156" t="s">
        <v>933</v>
      </c>
      <c r="G79" s="156" t="s">
        <v>934</v>
      </c>
      <c r="H79" s="156" t="s">
        <v>935</v>
      </c>
      <c r="I79" s="156" t="s">
        <v>936</v>
      </c>
    </row>
    <row r="80" spans="1:9" ht="38.25">
      <c r="A80" t="str">
        <f t="shared" si="1"/>
        <v>Abstand zwischen oberen/unteren Schrauben</v>
      </c>
      <c r="D80" t="s">
        <v>406</v>
      </c>
      <c r="E80" t="s">
        <v>545</v>
      </c>
      <c r="F80" s="156" t="s">
        <v>937</v>
      </c>
      <c r="G80" s="156" t="s">
        <v>938</v>
      </c>
      <c r="H80" s="156" t="s">
        <v>939</v>
      </c>
      <c r="I80" s="156" t="s">
        <v>940</v>
      </c>
    </row>
    <row r="81" spans="1:9" ht="76.5">
      <c r="A81" t="str">
        <f t="shared" si="1"/>
        <v>(*) Es wird angenommen, dass die Schraube im Betonbalken bis zum gegenüberliegenden Betonstahl hineinreicht</v>
      </c>
      <c r="D81" s="166" t="s">
        <v>371</v>
      </c>
      <c r="E81" s="166" t="s">
        <v>546</v>
      </c>
      <c r="F81" s="196" t="s">
        <v>1370</v>
      </c>
      <c r="G81" s="196" t="s">
        <v>941</v>
      </c>
      <c r="H81" s="196" t="s">
        <v>942</v>
      </c>
      <c r="I81" s="196" t="s">
        <v>943</v>
      </c>
    </row>
    <row r="82" spans="1:9">
      <c r="A82" t="str">
        <f t="shared" si="1"/>
        <v>Überprüfung</v>
      </c>
      <c r="D82" s="6" t="s">
        <v>442</v>
      </c>
      <c r="E82" s="6" t="s">
        <v>547</v>
      </c>
      <c r="F82" s="195" t="s">
        <v>944</v>
      </c>
      <c r="G82" s="195" t="s">
        <v>945</v>
      </c>
      <c r="H82" s="195" t="s">
        <v>946</v>
      </c>
      <c r="I82" s="195" t="s">
        <v>947</v>
      </c>
    </row>
    <row r="83" spans="1:9" ht="25.5">
      <c r="A83" t="str">
        <f t="shared" si="1"/>
        <v>Max. Wirkung auf einzelne Schraube</v>
      </c>
      <c r="D83" t="s">
        <v>425</v>
      </c>
      <c r="E83" t="s">
        <v>548</v>
      </c>
      <c r="F83" s="156" t="s">
        <v>948</v>
      </c>
      <c r="G83" s="156" t="s">
        <v>949</v>
      </c>
      <c r="H83" s="156" t="s">
        <v>950</v>
      </c>
      <c r="I83" s="156" t="s">
        <v>951</v>
      </c>
    </row>
    <row r="84" spans="1:9" ht="38.25">
      <c r="A84" t="str">
        <f t="shared" si="1"/>
        <v>Axiale Festigkeit einzelne Schraube Seite Holz/Stahl</v>
      </c>
      <c r="D84" t="s">
        <v>415</v>
      </c>
      <c r="E84" t="s">
        <v>549</v>
      </c>
      <c r="F84" s="156" t="s">
        <v>952</v>
      </c>
      <c r="G84" s="156" t="s">
        <v>953</v>
      </c>
      <c r="H84" s="156" t="s">
        <v>954</v>
      </c>
      <c r="I84" s="156" t="s">
        <v>955</v>
      </c>
    </row>
    <row r="85" spans="1:9" ht="25.5">
      <c r="A85" t="str">
        <f t="shared" si="1"/>
        <v xml:space="preserve">Axiale Beanspruchung </v>
      </c>
      <c r="D85" t="s">
        <v>171</v>
      </c>
      <c r="E85" t="s">
        <v>550</v>
      </c>
      <c r="F85" s="156" t="s">
        <v>956</v>
      </c>
      <c r="G85" s="156" t="s">
        <v>957</v>
      </c>
      <c r="H85" s="156" t="s">
        <v>958</v>
      </c>
      <c r="I85" s="156" t="s">
        <v>959</v>
      </c>
    </row>
    <row r="86" spans="1:9" ht="25.5">
      <c r="A86" t="str">
        <f t="shared" si="1"/>
        <v>Max. Scherkraft</v>
      </c>
      <c r="D86" t="s">
        <v>134</v>
      </c>
      <c r="E86" t="s">
        <v>551</v>
      </c>
      <c r="F86" s="156" t="s">
        <v>960</v>
      </c>
      <c r="G86" s="156" t="s">
        <v>961</v>
      </c>
      <c r="H86" s="156" t="s">
        <v>962</v>
      </c>
      <c r="I86" s="156" t="s">
        <v>963</v>
      </c>
    </row>
    <row r="87" spans="1:9" ht="38.25">
      <c r="A87" t="str">
        <f t="shared" si="1"/>
        <v xml:space="preserve">Scherfestigkeit einzelne Schraube </v>
      </c>
      <c r="D87" t="s">
        <v>223</v>
      </c>
      <c r="E87" t="s">
        <v>552</v>
      </c>
      <c r="F87" s="156" t="s">
        <v>964</v>
      </c>
      <c r="G87" s="156" t="s">
        <v>965</v>
      </c>
      <c r="H87" s="156" t="s">
        <v>966</v>
      </c>
      <c r="I87" s="156" t="s">
        <v>967</v>
      </c>
    </row>
    <row r="88" spans="1:9" ht="25.5">
      <c r="A88" t="str">
        <f t="shared" si="1"/>
        <v xml:space="preserve">Scherbeanspruchung </v>
      </c>
      <c r="D88" t="s">
        <v>172</v>
      </c>
      <c r="E88" t="s">
        <v>553</v>
      </c>
      <c r="F88" s="156" t="s">
        <v>968</v>
      </c>
      <c r="G88" s="156" t="s">
        <v>969</v>
      </c>
      <c r="H88" s="156" t="s">
        <v>970</v>
      </c>
      <c r="I88" s="156" t="s">
        <v>971</v>
      </c>
    </row>
    <row r="89" spans="1:9" ht="38.25">
      <c r="A89" t="str">
        <f t="shared" si="1"/>
        <v xml:space="preserve">Kombinierte Scher-Zug-Beanspruchung </v>
      </c>
      <c r="D89" t="s">
        <v>173</v>
      </c>
      <c r="E89" t="s">
        <v>554</v>
      </c>
      <c r="F89" s="156" t="s">
        <v>972</v>
      </c>
      <c r="G89" s="156" t="s">
        <v>973</v>
      </c>
      <c r="H89" s="156" t="s">
        <v>974</v>
      </c>
      <c r="I89" s="156" t="s">
        <v>975</v>
      </c>
    </row>
    <row r="90" spans="1:9" ht="38.25">
      <c r="A90" t="str">
        <f t="shared" si="1"/>
        <v>Überprüfung Verankerung Betonseite</v>
      </c>
      <c r="D90" s="6" t="s">
        <v>98</v>
      </c>
      <c r="E90" s="6" t="s">
        <v>555</v>
      </c>
      <c r="F90" s="195" t="s">
        <v>976</v>
      </c>
      <c r="G90" s="195" t="s">
        <v>977</v>
      </c>
      <c r="H90" s="195" t="s">
        <v>978</v>
      </c>
      <c r="I90" s="195" t="s">
        <v>979</v>
      </c>
    </row>
    <row r="91" spans="1:9">
      <c r="A91" t="str">
        <f t="shared" si="1"/>
        <v>Wirksame Länge</v>
      </c>
      <c r="D91" t="s">
        <v>103</v>
      </c>
      <c r="E91" t="s">
        <v>556</v>
      </c>
      <c r="F91" s="156" t="s">
        <v>980</v>
      </c>
      <c r="G91" s="156" t="s">
        <v>981</v>
      </c>
      <c r="H91" s="156" t="s">
        <v>982</v>
      </c>
      <c r="I91" s="156" t="s">
        <v>983</v>
      </c>
    </row>
    <row r="92" spans="1:9" ht="25.5">
      <c r="A92" t="str">
        <f t="shared" si="1"/>
        <v>Min. Länge Verankerung</v>
      </c>
      <c r="D92" t="s">
        <v>422</v>
      </c>
      <c r="E92" t="s">
        <v>557</v>
      </c>
      <c r="F92" s="156" t="s">
        <v>984</v>
      </c>
      <c r="G92" s="156" t="s">
        <v>985</v>
      </c>
      <c r="H92" s="156" t="s">
        <v>986</v>
      </c>
      <c r="I92" s="156" t="s">
        <v>987</v>
      </c>
    </row>
    <row r="93" spans="1:9">
      <c r="A93" t="str">
        <f t="shared" si="1"/>
        <v xml:space="preserve">Beanspruchung </v>
      </c>
      <c r="D93" t="s">
        <v>140</v>
      </c>
      <c r="E93" t="s">
        <v>558</v>
      </c>
      <c r="F93" s="156" t="s">
        <v>988</v>
      </c>
      <c r="G93" s="156" t="s">
        <v>989</v>
      </c>
      <c r="H93" s="156" t="s">
        <v>990</v>
      </c>
      <c r="I93" s="156" t="s">
        <v>991</v>
      </c>
    </row>
    <row r="94" spans="1:9">
      <c r="A94" t="str">
        <f t="shared" si="1"/>
        <v>Wirksame Länge</v>
      </c>
      <c r="D94" t="s">
        <v>103</v>
      </c>
      <c r="E94" t="s">
        <v>556</v>
      </c>
      <c r="F94" s="156" t="s">
        <v>980</v>
      </c>
      <c r="G94" s="156" t="s">
        <v>981</v>
      </c>
      <c r="H94" s="156" t="s">
        <v>982</v>
      </c>
      <c r="I94" s="156" t="s">
        <v>983</v>
      </c>
    </row>
    <row r="95" spans="1:9" ht="25.5">
      <c r="A95" t="str">
        <f t="shared" si="1"/>
        <v>Min. Länge Überlappung (Beton)</v>
      </c>
      <c r="D95" t="s">
        <v>423</v>
      </c>
      <c r="E95" t="s">
        <v>559</v>
      </c>
      <c r="F95" s="156" t="s">
        <v>1363</v>
      </c>
      <c r="G95" s="156" t="s">
        <v>992</v>
      </c>
      <c r="H95" s="156" t="s">
        <v>993</v>
      </c>
      <c r="I95" s="156" t="s">
        <v>994</v>
      </c>
    </row>
    <row r="96" spans="1:9">
      <c r="A96" t="str">
        <f t="shared" si="1"/>
        <v>Beanspruchung</v>
      </c>
      <c r="D96" t="s">
        <v>145</v>
      </c>
      <c r="E96" t="s">
        <v>558</v>
      </c>
      <c r="F96" s="156" t="s">
        <v>995</v>
      </c>
      <c r="G96" s="156" t="s">
        <v>996</v>
      </c>
      <c r="H96" s="156" t="s">
        <v>997</v>
      </c>
      <c r="I96" s="156" t="s">
        <v>998</v>
      </c>
    </row>
    <row r="97" spans="1:9">
      <c r="A97" t="str">
        <f t="shared" si="1"/>
        <v>Steifigkeiten</v>
      </c>
      <c r="D97" s="6" t="s">
        <v>424</v>
      </c>
      <c r="E97" s="6" t="s">
        <v>560</v>
      </c>
      <c r="F97" s="195" t="s">
        <v>999</v>
      </c>
      <c r="G97" s="195" t="s">
        <v>1000</v>
      </c>
      <c r="H97" s="195" t="s">
        <v>1001</v>
      </c>
      <c r="I97" s="195" t="s">
        <v>1002</v>
      </c>
    </row>
    <row r="98" spans="1:9">
      <c r="A98" t="str">
        <f t="shared" si="1"/>
        <v>Scherfestigkeit</v>
      </c>
      <c r="D98" t="s">
        <v>272</v>
      </c>
      <c r="E98" t="s">
        <v>561</v>
      </c>
      <c r="F98" s="156" t="s">
        <v>1003</v>
      </c>
      <c r="G98" s="156" t="s">
        <v>1004</v>
      </c>
      <c r="H98" s="156" t="s">
        <v>1005</v>
      </c>
      <c r="I98" s="156" t="s">
        <v>1006</v>
      </c>
    </row>
    <row r="99" spans="1:9">
      <c r="A99" t="str">
        <f t="shared" si="1"/>
        <v>Axiale Steifigkeit</v>
      </c>
      <c r="D99" t="s">
        <v>271</v>
      </c>
      <c r="E99" t="s">
        <v>562</v>
      </c>
      <c r="F99" s="156" t="s">
        <v>1007</v>
      </c>
      <c r="G99" s="156" t="s">
        <v>1008</v>
      </c>
      <c r="H99" s="156" t="s">
        <v>1009</v>
      </c>
      <c r="I99" s="156" t="s">
        <v>1008</v>
      </c>
    </row>
    <row r="100" spans="1:9">
      <c r="A100" t="str">
        <f t="shared" si="1"/>
        <v>Drehfedersteifigkeit (*)</v>
      </c>
      <c r="D100" t="s">
        <v>653</v>
      </c>
      <c r="E100" t="s">
        <v>654</v>
      </c>
      <c r="F100" s="156" t="s">
        <v>1371</v>
      </c>
      <c r="G100" s="156" t="s">
        <v>1011</v>
      </c>
      <c r="H100" s="156" t="s">
        <v>1012</v>
      </c>
      <c r="I100" s="156" t="s">
        <v>1011</v>
      </c>
    </row>
    <row r="101" spans="1:9" ht="25.5">
      <c r="A101" t="str">
        <f t="shared" si="1"/>
        <v>Berechnung Nulllinie - Biegung</v>
      </c>
      <c r="D101" s="126" t="s">
        <v>246</v>
      </c>
      <c r="E101" s="126" t="s">
        <v>563</v>
      </c>
      <c r="F101" s="198" t="s">
        <v>1013</v>
      </c>
      <c r="G101" s="198" t="s">
        <v>1014</v>
      </c>
      <c r="H101" s="198" t="s">
        <v>1015</v>
      </c>
      <c r="I101" s="198" t="s">
        <v>1016</v>
      </c>
    </row>
    <row r="102" spans="1:9" ht="25.5">
      <c r="A102" t="str">
        <f t="shared" si="1"/>
        <v xml:space="preserve">Biegesteifigkeit in Bezug auf Schrauben </v>
      </c>
      <c r="D102" t="s">
        <v>407</v>
      </c>
      <c r="E102" t="s">
        <v>564</v>
      </c>
      <c r="F102" s="156" t="s">
        <v>1017</v>
      </c>
      <c r="G102" s="156" t="s">
        <v>1018</v>
      </c>
      <c r="H102" s="156" t="s">
        <v>1019</v>
      </c>
      <c r="I102" s="156" t="s">
        <v>1020</v>
      </c>
    </row>
    <row r="103" spans="1:9">
      <c r="A103" t="str">
        <f t="shared" si="1"/>
        <v xml:space="preserve">Nulllinie </v>
      </c>
      <c r="D103" t="s">
        <v>408</v>
      </c>
      <c r="E103" t="s">
        <v>565</v>
      </c>
      <c r="F103" s="156" t="s">
        <v>1021</v>
      </c>
      <c r="G103" s="156" t="s">
        <v>1022</v>
      </c>
      <c r="H103" s="156" t="s">
        <v>1023</v>
      </c>
      <c r="I103" s="156" t="s">
        <v>1024</v>
      </c>
    </row>
    <row r="104" spans="1:9" ht="25.5">
      <c r="A104" t="str">
        <f t="shared" si="1"/>
        <v xml:space="preserve">Gedrückter Bereich erste Lamelle </v>
      </c>
      <c r="D104" t="s">
        <v>409</v>
      </c>
      <c r="E104" t="s">
        <v>566</v>
      </c>
      <c r="F104" s="156" t="s">
        <v>1372</v>
      </c>
      <c r="G104" s="156" t="s">
        <v>1025</v>
      </c>
      <c r="H104" s="156" t="s">
        <v>1026</v>
      </c>
      <c r="I104" s="156" t="s">
        <v>1027</v>
      </c>
    </row>
    <row r="105" spans="1:9" ht="25.5">
      <c r="A105" t="str">
        <f t="shared" si="1"/>
        <v xml:space="preserve">Gedrückter Bereich zweite Lamelle </v>
      </c>
      <c r="D105" t="s">
        <v>410</v>
      </c>
      <c r="E105" t="s">
        <v>567</v>
      </c>
      <c r="F105" s="156" t="s">
        <v>1373</v>
      </c>
      <c r="G105" s="156" t="s">
        <v>1028</v>
      </c>
      <c r="H105" s="156" t="s">
        <v>1029</v>
      </c>
      <c r="I105" s="156" t="s">
        <v>1030</v>
      </c>
    </row>
    <row r="106" spans="1:9" ht="25.5">
      <c r="A106" t="str">
        <f t="shared" si="1"/>
        <v xml:space="preserve">Gedrückter Bereich dritte Lamelle </v>
      </c>
      <c r="D106" t="s">
        <v>411</v>
      </c>
      <c r="E106" t="s">
        <v>568</v>
      </c>
      <c r="F106" s="156" t="s">
        <v>1374</v>
      </c>
      <c r="G106" s="156" t="s">
        <v>1031</v>
      </c>
      <c r="H106" s="156" t="s">
        <v>1032</v>
      </c>
      <c r="I106" s="156" t="s">
        <v>1033</v>
      </c>
    </row>
    <row r="107" spans="1:9">
      <c r="A107" t="str">
        <f t="shared" si="1"/>
        <v xml:space="preserve">Resultierende Position </v>
      </c>
      <c r="D107" t="s">
        <v>412</v>
      </c>
      <c r="E107" t="s">
        <v>569</v>
      </c>
      <c r="F107" s="156" t="s">
        <v>1034</v>
      </c>
      <c r="G107" s="156" t="s">
        <v>1035</v>
      </c>
      <c r="H107" s="156" t="s">
        <v>1036</v>
      </c>
      <c r="I107" s="156" t="s">
        <v>1037</v>
      </c>
    </row>
    <row r="108" spans="1:9">
      <c r="A108" t="str">
        <f t="shared" si="1"/>
        <v>Hebelsarm</v>
      </c>
      <c r="D108" t="s">
        <v>83</v>
      </c>
      <c r="E108" t="s">
        <v>570</v>
      </c>
      <c r="F108" s="156" t="s">
        <v>1375</v>
      </c>
      <c r="G108" s="156" t="s">
        <v>1038</v>
      </c>
      <c r="H108" s="156" t="s">
        <v>1039</v>
      </c>
      <c r="I108" s="156" t="s">
        <v>1040</v>
      </c>
    </row>
    <row r="109" spans="1:9">
      <c r="A109" t="str">
        <f t="shared" si="1"/>
        <v>Berechnung Belastungen</v>
      </c>
      <c r="D109" s="126" t="s">
        <v>123</v>
      </c>
      <c r="E109" s="126" t="s">
        <v>571</v>
      </c>
      <c r="F109" s="198" t="s">
        <v>1041</v>
      </c>
      <c r="G109" s="198" t="s">
        <v>1042</v>
      </c>
      <c r="H109" s="198" t="s">
        <v>1043</v>
      </c>
      <c r="I109" s="198" t="s">
        <v>1044</v>
      </c>
    </row>
    <row r="110" spans="1:9" ht="25.5">
      <c r="A110" t="str">
        <f t="shared" si="1"/>
        <v>Max. Kraft auf alle Schrauben</v>
      </c>
      <c r="D110" t="s">
        <v>110</v>
      </c>
      <c r="E110" t="s">
        <v>572</v>
      </c>
      <c r="F110" s="156" t="s">
        <v>1376</v>
      </c>
      <c r="G110" s="156" t="s">
        <v>1045</v>
      </c>
      <c r="H110" s="156" t="s">
        <v>1046</v>
      </c>
      <c r="I110" s="156" t="s">
        <v>1047</v>
      </c>
    </row>
    <row r="111" spans="1:9" ht="25.5">
      <c r="A111" t="str">
        <f t="shared" si="1"/>
        <v>Max. Kraft auf einzelne Schraube (*)</v>
      </c>
      <c r="D111" t="s">
        <v>374</v>
      </c>
      <c r="E111" t="s">
        <v>573</v>
      </c>
      <c r="F111" s="156" t="s">
        <v>1377</v>
      </c>
      <c r="G111" s="156" t="s">
        <v>1048</v>
      </c>
      <c r="H111" s="156" t="s">
        <v>1049</v>
      </c>
      <c r="I111" s="156" t="s">
        <v>1050</v>
      </c>
    </row>
    <row r="112" spans="1:9" ht="38.25">
      <c r="A112" t="str">
        <f t="shared" si="1"/>
        <v>Max. Kraft Schrauben in Ebene auf einzelne obere Schraube</v>
      </c>
      <c r="D112" t="s">
        <v>124</v>
      </c>
      <c r="E112" t="s">
        <v>574</v>
      </c>
      <c r="F112" s="156" t="s">
        <v>1378</v>
      </c>
      <c r="G112" s="156" t="s">
        <v>1051</v>
      </c>
      <c r="H112" s="156" t="s">
        <v>1052</v>
      </c>
      <c r="I112" s="156" t="s">
        <v>1053</v>
      </c>
    </row>
    <row r="113" spans="1:9" ht="38.25">
      <c r="A113" t="str">
        <f t="shared" si="1"/>
        <v>Max. Kraft Schrauben in Ebene auf einzelne untere Schraube</v>
      </c>
      <c r="D113" t="s">
        <v>125</v>
      </c>
      <c r="E113" t="s">
        <v>575</v>
      </c>
      <c r="F113" s="156" t="s">
        <v>1379</v>
      </c>
      <c r="G113" s="156" t="s">
        <v>1054</v>
      </c>
      <c r="H113" s="156" t="s">
        <v>1055</v>
      </c>
      <c r="I113" s="156" t="s">
        <v>1056</v>
      </c>
    </row>
    <row r="114" spans="1:9" ht="51">
      <c r="A114" t="str">
        <f t="shared" si="1"/>
        <v>Max. Kraft Schrauben außerhalb Ebene auf einzelne obere Schraube</v>
      </c>
      <c r="D114" t="s">
        <v>413</v>
      </c>
      <c r="E114" t="s">
        <v>576</v>
      </c>
      <c r="F114" s="156" t="s">
        <v>1380</v>
      </c>
      <c r="G114" s="156" t="s">
        <v>1057</v>
      </c>
      <c r="H114" s="156" t="s">
        <v>1058</v>
      </c>
      <c r="I114" s="156" t="s">
        <v>1059</v>
      </c>
    </row>
    <row r="115" spans="1:9" ht="51">
      <c r="A115" t="str">
        <f t="shared" si="1"/>
        <v>Max. Kraft Schrauben außerhalb Ebene auf einzelne untere Schraube</v>
      </c>
      <c r="D115" t="s">
        <v>414</v>
      </c>
      <c r="E115" t="s">
        <v>577</v>
      </c>
      <c r="F115" s="156" t="s">
        <v>1381</v>
      </c>
      <c r="G115" s="156" t="s">
        <v>1060</v>
      </c>
      <c r="H115" s="156" t="s">
        <v>1061</v>
      </c>
      <c r="I115" s="156" t="s">
        <v>1062</v>
      </c>
    </row>
    <row r="116" spans="1:9" ht="25.5">
      <c r="A116" t="str">
        <f t="shared" si="1"/>
        <v>Kombinierte Kraft auf einzelne obere Schraube</v>
      </c>
      <c r="D116" t="s">
        <v>127</v>
      </c>
      <c r="E116" t="s">
        <v>578</v>
      </c>
      <c r="F116" s="156" t="s">
        <v>1382</v>
      </c>
      <c r="G116" s="156" t="s">
        <v>1063</v>
      </c>
      <c r="H116" s="156" t="s">
        <v>1064</v>
      </c>
      <c r="I116" s="156" t="s">
        <v>1065</v>
      </c>
    </row>
    <row r="117" spans="1:9" ht="38.25">
      <c r="A117" t="str">
        <f t="shared" si="1"/>
        <v>Kombinierte Kraft auf einzelne untere Schraube</v>
      </c>
      <c r="D117" t="s">
        <v>126</v>
      </c>
      <c r="E117" t="s">
        <v>579</v>
      </c>
      <c r="F117" s="156" t="s">
        <v>1383</v>
      </c>
      <c r="G117" s="156" t="s">
        <v>1066</v>
      </c>
      <c r="H117" s="156" t="s">
        <v>1067</v>
      </c>
      <c r="I117" s="156" t="s">
        <v>1068</v>
      </c>
    </row>
    <row r="118" spans="1:9" ht="25.5">
      <c r="A118" t="str">
        <f t="shared" si="1"/>
        <v>Max. Scherkraft</v>
      </c>
      <c r="D118" t="s">
        <v>134</v>
      </c>
      <c r="E118" t="s">
        <v>551</v>
      </c>
      <c r="F118" s="156" t="s">
        <v>960</v>
      </c>
      <c r="G118" s="156" t="s">
        <v>961</v>
      </c>
      <c r="H118" s="156" t="s">
        <v>962</v>
      </c>
      <c r="I118" s="156" t="s">
        <v>963</v>
      </c>
    </row>
    <row r="119" spans="1:9" ht="76.5">
      <c r="A119" t="str">
        <f t="shared" si="1"/>
        <v>(*) Es wird angenommen, dass die Zugkraft nur von den Schrauben an der unteren Linie aufgenommen wird</v>
      </c>
      <c r="D119" t="s">
        <v>373</v>
      </c>
      <c r="E119" t="s">
        <v>580</v>
      </c>
      <c r="F119" s="156" t="s">
        <v>1384</v>
      </c>
      <c r="G119" s="156" t="s">
        <v>1069</v>
      </c>
      <c r="H119" s="156" t="s">
        <v>1070</v>
      </c>
      <c r="I119" s="156" t="s">
        <v>1071</v>
      </c>
    </row>
    <row r="120" spans="1:9" ht="25.5">
      <c r="A120" t="str">
        <f t="shared" si="1"/>
        <v>Untere Fasern unter Zugspannung</v>
      </c>
      <c r="D120" t="s">
        <v>434</v>
      </c>
      <c r="E120" t="s">
        <v>497</v>
      </c>
      <c r="F120" s="156" t="s">
        <v>1357</v>
      </c>
      <c r="G120" s="156" t="s">
        <v>733</v>
      </c>
      <c r="H120" s="156" t="s">
        <v>734</v>
      </c>
      <c r="I120" s="156" t="s">
        <v>735</v>
      </c>
    </row>
    <row r="121" spans="1:9" ht="25.5">
      <c r="A121" t="str">
        <f t="shared" si="1"/>
        <v>Obere Fasern unter Zugspannung</v>
      </c>
      <c r="D121" t="s">
        <v>443</v>
      </c>
      <c r="E121" t="s">
        <v>581</v>
      </c>
      <c r="F121" s="156" t="s">
        <v>1385</v>
      </c>
      <c r="G121" s="156" t="s">
        <v>1072</v>
      </c>
      <c r="H121" s="156" t="s">
        <v>1073</v>
      </c>
      <c r="I121" s="156" t="s">
        <v>1074</v>
      </c>
    </row>
    <row r="122" spans="1:9">
      <c r="A122" t="str">
        <f t="shared" si="1"/>
        <v>Überprüfung</v>
      </c>
      <c r="D122" s="126" t="s">
        <v>442</v>
      </c>
      <c r="E122" s="126" t="s">
        <v>687</v>
      </c>
      <c r="F122" s="198" t="s">
        <v>944</v>
      </c>
      <c r="G122" s="198" t="s">
        <v>945</v>
      </c>
      <c r="H122" s="198" t="s">
        <v>946</v>
      </c>
      <c r="I122" s="198" t="s">
        <v>947</v>
      </c>
    </row>
    <row r="123" spans="1:9" ht="38.25">
      <c r="A123" t="str">
        <f t="shared" si="1"/>
        <v>Axiale Festigkeit einzelne Schraube Seite Holz/Stahl</v>
      </c>
      <c r="D123" t="s">
        <v>415</v>
      </c>
      <c r="E123" t="s">
        <v>582</v>
      </c>
      <c r="F123" s="156" t="s">
        <v>952</v>
      </c>
      <c r="G123" s="156" t="s">
        <v>953</v>
      </c>
      <c r="H123" s="156" t="s">
        <v>954</v>
      </c>
      <c r="I123" s="156" t="s">
        <v>955</v>
      </c>
    </row>
    <row r="124" spans="1:9" ht="38.25">
      <c r="A124" t="str">
        <f t="shared" si="1"/>
        <v xml:space="preserve">Scherfestigkeit einzelne Schraube </v>
      </c>
      <c r="D124" t="s">
        <v>223</v>
      </c>
      <c r="E124" t="s">
        <v>583</v>
      </c>
      <c r="F124" s="156" t="s">
        <v>964</v>
      </c>
      <c r="G124" s="156" t="s">
        <v>965</v>
      </c>
      <c r="H124" s="156" t="s">
        <v>966</v>
      </c>
      <c r="I124" s="156" t="s">
        <v>967</v>
      </c>
    </row>
    <row r="125" spans="1:9" ht="25.5">
      <c r="A125" t="str">
        <f t="shared" si="1"/>
        <v xml:space="preserve">Axiale Beanspruchung </v>
      </c>
      <c r="D125" t="s">
        <v>171</v>
      </c>
      <c r="E125" t="s">
        <v>550</v>
      </c>
      <c r="F125" s="156" t="s">
        <v>956</v>
      </c>
      <c r="G125" s="156" t="s">
        <v>957</v>
      </c>
      <c r="H125" s="156" t="s">
        <v>958</v>
      </c>
      <c r="I125" s="156" t="s">
        <v>959</v>
      </c>
    </row>
    <row r="126" spans="1:9" ht="25.5">
      <c r="A126" t="str">
        <f t="shared" si="1"/>
        <v xml:space="preserve">Scherbeanspruchung </v>
      </c>
      <c r="D126" t="s">
        <v>172</v>
      </c>
      <c r="E126" t="s">
        <v>553</v>
      </c>
      <c r="F126" s="156" t="s">
        <v>968</v>
      </c>
      <c r="G126" s="156" t="s">
        <v>969</v>
      </c>
      <c r="H126" s="156" t="s">
        <v>970</v>
      </c>
      <c r="I126" s="156" t="s">
        <v>971</v>
      </c>
    </row>
    <row r="127" spans="1:9" ht="38.25">
      <c r="A127" t="str">
        <f t="shared" si="1"/>
        <v xml:space="preserve">Kombinierte Scher-Zug-Beanspruchung </v>
      </c>
      <c r="D127" t="s">
        <v>173</v>
      </c>
      <c r="E127" t="s">
        <v>554</v>
      </c>
      <c r="F127" s="156" t="s">
        <v>972</v>
      </c>
      <c r="G127" s="156" t="s">
        <v>973</v>
      </c>
      <c r="H127" s="156" t="s">
        <v>974</v>
      </c>
      <c r="I127" s="156" t="s">
        <v>975</v>
      </c>
    </row>
    <row r="128" spans="1:9" ht="38.25">
      <c r="A128" t="str">
        <f t="shared" si="1"/>
        <v>Überprüfung Verankerung Betonseite</v>
      </c>
      <c r="D128" s="126" t="s">
        <v>98</v>
      </c>
      <c r="E128" s="126" t="s">
        <v>555</v>
      </c>
      <c r="F128" s="198" t="s">
        <v>976</v>
      </c>
      <c r="G128" s="198" t="s">
        <v>977</v>
      </c>
      <c r="H128" s="198" t="s">
        <v>978</v>
      </c>
      <c r="I128" s="198" t="s">
        <v>979</v>
      </c>
    </row>
    <row r="129" spans="1:9" ht="25.5">
      <c r="A129" t="str">
        <f t="shared" si="1"/>
        <v>Geforderte Länge Verankerung</v>
      </c>
      <c r="D129" t="s">
        <v>135</v>
      </c>
      <c r="E129" t="s">
        <v>584</v>
      </c>
      <c r="F129" s="156" t="s">
        <v>1075</v>
      </c>
      <c r="G129" s="156" t="s">
        <v>1076</v>
      </c>
      <c r="H129" s="156" t="s">
        <v>1077</v>
      </c>
      <c r="I129" s="156" t="s">
        <v>1078</v>
      </c>
    </row>
    <row r="130" spans="1:9" ht="25.5">
      <c r="A130" t="str">
        <f t="shared" si="1"/>
        <v>Min. Länge Verankerung</v>
      </c>
      <c r="D130" t="s">
        <v>137</v>
      </c>
      <c r="E130" t="s">
        <v>557</v>
      </c>
      <c r="F130" s="156" t="s">
        <v>984</v>
      </c>
      <c r="G130" s="156" t="s">
        <v>1079</v>
      </c>
      <c r="H130" s="156" t="s">
        <v>1080</v>
      </c>
      <c r="I130" s="156" t="s">
        <v>987</v>
      </c>
    </row>
    <row r="131" spans="1:9">
      <c r="A131" t="str">
        <f t="shared" si="1"/>
        <v>Wirksame Länge</v>
      </c>
      <c r="D131" t="s">
        <v>103</v>
      </c>
      <c r="E131" t="s">
        <v>556</v>
      </c>
      <c r="F131" s="156" t="s">
        <v>980</v>
      </c>
      <c r="G131" s="156" t="s">
        <v>981</v>
      </c>
      <c r="H131" s="156" t="s">
        <v>982</v>
      </c>
      <c r="I131" s="156" t="s">
        <v>983</v>
      </c>
    </row>
    <row r="132" spans="1:9" ht="25.5">
      <c r="A132" t="str">
        <f t="shared" ref="A132:A186" si="2">IF($B$1=$D$1,D132,IF($B$1=$E$1,E132,IF($B$1=$F$1,F132,IF($B$1=$G$1,G132,IF($B$1=$H$1,H132,IF($B$1=$I$1,I132,"ERROR"))))))</f>
        <v>Länge Verankerung</v>
      </c>
      <c r="D132" t="s">
        <v>340</v>
      </c>
      <c r="E132" t="s">
        <v>539</v>
      </c>
      <c r="F132" s="156" t="s">
        <v>911</v>
      </c>
      <c r="G132" s="156" t="s">
        <v>1081</v>
      </c>
      <c r="H132" s="156" t="s">
        <v>913</v>
      </c>
      <c r="I132" s="156" t="s">
        <v>914</v>
      </c>
    </row>
    <row r="133" spans="1:9">
      <c r="A133" t="str">
        <f t="shared" si="2"/>
        <v xml:space="preserve">Beanspruchung </v>
      </c>
      <c r="D133" t="s">
        <v>140</v>
      </c>
      <c r="E133" t="s">
        <v>558</v>
      </c>
      <c r="F133" s="156" t="s">
        <v>988</v>
      </c>
      <c r="G133" s="156" t="s">
        <v>989</v>
      </c>
      <c r="H133" s="156" t="s">
        <v>990</v>
      </c>
      <c r="I133" s="156" t="s">
        <v>991</v>
      </c>
    </row>
    <row r="134" spans="1:9">
      <c r="A134" t="str">
        <f t="shared" si="2"/>
        <v>Länge Überlappung</v>
      </c>
      <c r="D134" t="s">
        <v>142</v>
      </c>
      <c r="E134" t="s">
        <v>585</v>
      </c>
      <c r="F134" s="156" t="s">
        <v>907</v>
      </c>
      <c r="G134" s="156" t="s">
        <v>1082</v>
      </c>
      <c r="H134" s="156" t="s">
        <v>1083</v>
      </c>
      <c r="I134" s="156" t="s">
        <v>1084</v>
      </c>
    </row>
    <row r="135" spans="1:9" ht="25.5">
      <c r="A135" t="str">
        <f t="shared" si="2"/>
        <v>Min. Länge Überlappung</v>
      </c>
      <c r="D135" t="s">
        <v>423</v>
      </c>
      <c r="E135" t="s">
        <v>559</v>
      </c>
      <c r="F135" s="156" t="s">
        <v>1386</v>
      </c>
      <c r="G135" s="156" t="s">
        <v>992</v>
      </c>
      <c r="H135" s="156" t="s">
        <v>993</v>
      </c>
      <c r="I135" s="156" t="s">
        <v>994</v>
      </c>
    </row>
    <row r="136" spans="1:9">
      <c r="A136" t="str">
        <f t="shared" si="2"/>
        <v>Wirksame Länge</v>
      </c>
      <c r="D136" t="s">
        <v>103</v>
      </c>
      <c r="E136" t="s">
        <v>556</v>
      </c>
      <c r="F136" s="156" t="s">
        <v>980</v>
      </c>
      <c r="G136" s="156" t="s">
        <v>981</v>
      </c>
      <c r="H136" s="156" t="s">
        <v>982</v>
      </c>
      <c r="I136" s="156" t="s">
        <v>983</v>
      </c>
    </row>
    <row r="137" spans="1:9">
      <c r="A137" t="str">
        <f t="shared" si="2"/>
        <v>Beanspruchung</v>
      </c>
      <c r="D137" t="s">
        <v>145</v>
      </c>
      <c r="E137" t="s">
        <v>558</v>
      </c>
      <c r="F137" s="156" t="s">
        <v>995</v>
      </c>
      <c r="G137" s="156" t="s">
        <v>996</v>
      </c>
      <c r="H137" s="156" t="s">
        <v>997</v>
      </c>
      <c r="I137" s="156" t="s">
        <v>998</v>
      </c>
    </row>
    <row r="138" spans="1:9" ht="25.5">
      <c r="A138" t="str">
        <f t="shared" si="2"/>
        <v>Scher-/Biegesteifigkeit</v>
      </c>
      <c r="D138" s="126" t="s">
        <v>286</v>
      </c>
      <c r="E138" s="126" t="s">
        <v>586</v>
      </c>
      <c r="F138" s="198" t="s">
        <v>1085</v>
      </c>
      <c r="G138" s="198" t="s">
        <v>1086</v>
      </c>
      <c r="H138" s="198" t="s">
        <v>1087</v>
      </c>
      <c r="I138" s="198" t="s">
        <v>1088</v>
      </c>
    </row>
    <row r="139" spans="1:9">
      <c r="A139" t="str">
        <f t="shared" si="2"/>
        <v>Scherfestigkeit</v>
      </c>
      <c r="D139" t="s">
        <v>272</v>
      </c>
      <c r="E139" t="s">
        <v>561</v>
      </c>
      <c r="F139" s="156" t="s">
        <v>1003</v>
      </c>
      <c r="G139" s="156" t="s">
        <v>1004</v>
      </c>
      <c r="H139" s="156" t="s">
        <v>1005</v>
      </c>
      <c r="I139" s="156" t="s">
        <v>1006</v>
      </c>
    </row>
    <row r="140" spans="1:9">
      <c r="A140" t="str">
        <f t="shared" si="2"/>
        <v>erste Schicht</v>
      </c>
      <c r="D140" t="s">
        <v>444</v>
      </c>
      <c r="E140" t="s">
        <v>288</v>
      </c>
      <c r="F140" s="156" t="s">
        <v>1089</v>
      </c>
      <c r="G140" s="156" t="s">
        <v>1090</v>
      </c>
      <c r="H140" s="156" t="s">
        <v>1091</v>
      </c>
      <c r="I140" s="156" t="s">
        <v>1092</v>
      </c>
    </row>
    <row r="141" spans="1:9">
      <c r="A141" t="str">
        <f t="shared" si="2"/>
        <v>25 % Stärke</v>
      </c>
      <c r="D141" t="s">
        <v>445</v>
      </c>
      <c r="E141" t="s">
        <v>587</v>
      </c>
      <c r="F141" s="156" t="s">
        <v>1093</v>
      </c>
      <c r="G141" s="156" t="s">
        <v>1094</v>
      </c>
      <c r="H141" s="156" t="s">
        <v>1095</v>
      </c>
      <c r="I141" s="156" t="s">
        <v>1096</v>
      </c>
    </row>
    <row r="142" spans="1:9">
      <c r="A142" t="str">
        <f t="shared" si="2"/>
        <v>a_t(25%)</v>
      </c>
      <c r="D142" t="s">
        <v>289</v>
      </c>
      <c r="E142" t="s">
        <v>289</v>
      </c>
      <c r="F142" s="156" t="s">
        <v>289</v>
      </c>
      <c r="G142" s="156" t="s">
        <v>289</v>
      </c>
      <c r="H142" s="156" t="s">
        <v>1097</v>
      </c>
      <c r="I142" s="156" t="s">
        <v>289</v>
      </c>
    </row>
    <row r="143" spans="1:9" ht="51">
      <c r="A143" t="str">
        <f t="shared" si="2"/>
        <v>Länge des Bereiches unter Druckspannung Berechnung für Steifigkeit</v>
      </c>
      <c r="D143" t="s">
        <v>257</v>
      </c>
      <c r="E143" t="s">
        <v>588</v>
      </c>
      <c r="F143" s="156" t="s">
        <v>1387</v>
      </c>
      <c r="G143" s="156" t="s">
        <v>1098</v>
      </c>
      <c r="H143" s="156" t="s">
        <v>1099</v>
      </c>
      <c r="I143" s="156" t="s">
        <v>1100</v>
      </c>
    </row>
    <row r="144" spans="1:9">
      <c r="A144" t="str">
        <f t="shared" si="2"/>
        <v>Hebelsarm</v>
      </c>
      <c r="D144" t="s">
        <v>83</v>
      </c>
      <c r="E144" t="s">
        <v>570</v>
      </c>
      <c r="F144" s="156" t="s">
        <v>1375</v>
      </c>
      <c r="G144" s="156" t="s">
        <v>1038</v>
      </c>
      <c r="H144" s="156" t="s">
        <v>1039</v>
      </c>
      <c r="I144" s="156" t="s">
        <v>1040</v>
      </c>
    </row>
    <row r="145" spans="1:9">
      <c r="A145" t="str">
        <f t="shared" si="2"/>
        <v>Bezugsmoment</v>
      </c>
      <c r="D145" t="s">
        <v>262</v>
      </c>
      <c r="E145" t="s">
        <v>589</v>
      </c>
      <c r="F145" s="156" t="s">
        <v>1101</v>
      </c>
      <c r="G145" s="156" t="s">
        <v>1102</v>
      </c>
      <c r="H145" s="156" t="s">
        <v>1103</v>
      </c>
      <c r="I145" s="156" t="s">
        <v>1104</v>
      </c>
    </row>
    <row r="146" spans="1:9" ht="25.5">
      <c r="A146" t="str">
        <f t="shared" si="2"/>
        <v>Kraft auf Bezugsschrauben</v>
      </c>
      <c r="D146" t="s">
        <v>416</v>
      </c>
      <c r="E146" t="s">
        <v>590</v>
      </c>
      <c r="F146" s="156" t="s">
        <v>1105</v>
      </c>
      <c r="G146" s="156" t="s">
        <v>1106</v>
      </c>
      <c r="H146" s="156" t="s">
        <v>1107</v>
      </c>
      <c r="I146" s="156" t="s">
        <v>1108</v>
      </c>
    </row>
    <row r="147" spans="1:9">
      <c r="A147" t="str">
        <f t="shared" si="2"/>
        <v>Bezugsbreite</v>
      </c>
      <c r="D147" t="s">
        <v>269</v>
      </c>
      <c r="E147" t="s">
        <v>591</v>
      </c>
      <c r="F147" s="156" t="s">
        <v>1109</v>
      </c>
      <c r="G147" s="156" t="s">
        <v>1110</v>
      </c>
      <c r="H147" s="156" t="s">
        <v>1111</v>
      </c>
      <c r="I147" s="156" t="s">
        <v>1112</v>
      </c>
    </row>
    <row r="148" spans="1:9">
      <c r="A148" t="str">
        <f t="shared" si="2"/>
        <v xml:space="preserve">Druckfestigkeit </v>
      </c>
      <c r="D148" t="s">
        <v>264</v>
      </c>
      <c r="E148" t="s">
        <v>592</v>
      </c>
      <c r="F148" s="156" t="s">
        <v>1113</v>
      </c>
      <c r="G148" s="156" t="s">
        <v>1114</v>
      </c>
      <c r="H148" s="156" t="s">
        <v>1115</v>
      </c>
      <c r="I148" s="156" t="s">
        <v>1116</v>
      </c>
    </row>
    <row r="149" spans="1:9">
      <c r="A149" t="str">
        <f t="shared" si="2"/>
        <v>Axiale Steifigkeit</v>
      </c>
      <c r="D149" t="s">
        <v>271</v>
      </c>
      <c r="E149" t="s">
        <v>562</v>
      </c>
      <c r="F149" s="156" t="s">
        <v>1007</v>
      </c>
      <c r="G149" s="156" t="s">
        <v>1008</v>
      </c>
      <c r="H149" s="156" t="s">
        <v>1009</v>
      </c>
      <c r="I149" s="156" t="s">
        <v>1008</v>
      </c>
    </row>
    <row r="150" spans="1:9" ht="25.5">
      <c r="A150" t="str">
        <f t="shared" si="2"/>
        <v>Schrauben im Bereich unter Zugspannung</v>
      </c>
      <c r="D150" t="s">
        <v>282</v>
      </c>
      <c r="E150" t="s">
        <v>593</v>
      </c>
      <c r="F150" s="156" t="s">
        <v>1388</v>
      </c>
      <c r="G150" s="156" t="s">
        <v>1117</v>
      </c>
      <c r="H150" s="156" t="s">
        <v>1118</v>
      </c>
      <c r="I150" s="156" t="s">
        <v>1119</v>
      </c>
    </row>
    <row r="151" spans="1:9" ht="25.5">
      <c r="A151" t="str">
        <f t="shared" si="2"/>
        <v>Verformung gedrückter Bereich</v>
      </c>
      <c r="D151" t="s">
        <v>417</v>
      </c>
      <c r="E151" t="s">
        <v>594</v>
      </c>
      <c r="F151" s="156" t="s">
        <v>1389</v>
      </c>
      <c r="G151" s="156" t="s">
        <v>1120</v>
      </c>
      <c r="H151" s="156" t="s">
        <v>1121</v>
      </c>
      <c r="I151" s="156" t="s">
        <v>1122</v>
      </c>
    </row>
    <row r="152" spans="1:9" ht="25.5">
      <c r="A152" t="str">
        <f t="shared" si="2"/>
        <v>Verformung Befestigungen</v>
      </c>
      <c r="D152" t="s">
        <v>418</v>
      </c>
      <c r="E152" t="s">
        <v>595</v>
      </c>
      <c r="F152" s="156" t="s">
        <v>1123</v>
      </c>
      <c r="G152" s="156" t="s">
        <v>1124</v>
      </c>
      <c r="H152" s="156" t="s">
        <v>1125</v>
      </c>
      <c r="I152" s="156" t="s">
        <v>1126</v>
      </c>
    </row>
    <row r="153" spans="1:9" ht="25.5">
      <c r="A153" t="str">
        <f t="shared" si="2"/>
        <v>Einzelner Drehwinkel</v>
      </c>
      <c r="D153" t="s">
        <v>284</v>
      </c>
      <c r="E153" t="s">
        <v>596</v>
      </c>
      <c r="F153" s="156" t="s">
        <v>1127</v>
      </c>
      <c r="G153" s="156" t="s">
        <v>1128</v>
      </c>
      <c r="H153" s="156" t="s">
        <v>1129</v>
      </c>
      <c r="I153" s="156" t="s">
        <v>1130</v>
      </c>
    </row>
    <row r="154" spans="1:9">
      <c r="A154" t="str">
        <f t="shared" si="2"/>
        <v>Drehsteifigkeit (*)</v>
      </c>
      <c r="D154" t="s">
        <v>653</v>
      </c>
      <c r="E154" t="s">
        <v>654</v>
      </c>
      <c r="F154" s="156" t="s">
        <v>1010</v>
      </c>
      <c r="G154" s="156" t="s">
        <v>1011</v>
      </c>
      <c r="H154" s="156" t="s">
        <v>1012</v>
      </c>
      <c r="I154" s="156" t="s">
        <v>1011</v>
      </c>
    </row>
    <row r="155" spans="1:9">
      <c r="A155" t="str">
        <f t="shared" si="2"/>
        <v>bearbeitbare Zellen</v>
      </c>
      <c r="D155" s="152" t="s">
        <v>394</v>
      </c>
      <c r="E155" s="152" t="s">
        <v>597</v>
      </c>
      <c r="F155" s="199" t="s">
        <v>1131</v>
      </c>
      <c r="G155" s="199" t="s">
        <v>1132</v>
      </c>
      <c r="H155" s="199" t="s">
        <v>1133</v>
      </c>
      <c r="I155" s="199" t="s">
        <v>1134</v>
      </c>
    </row>
    <row r="156" spans="1:9" ht="38.25">
      <c r="A156" t="str">
        <f t="shared" si="2"/>
        <v>Abstand Linie untere Schrauben von der CLT-Kante</v>
      </c>
      <c r="D156" t="s">
        <v>446</v>
      </c>
      <c r="E156" t="s">
        <v>598</v>
      </c>
      <c r="F156" s="156" t="s">
        <v>1390</v>
      </c>
      <c r="G156" s="156" t="s">
        <v>1135</v>
      </c>
      <c r="H156" s="156" t="s">
        <v>1136</v>
      </c>
      <c r="I156" s="156" t="s">
        <v>1137</v>
      </c>
    </row>
    <row r="157" spans="1:9">
      <c r="A157" t="str">
        <f t="shared" si="2"/>
        <v>Schalung</v>
      </c>
      <c r="D157" t="s">
        <v>377</v>
      </c>
      <c r="E157" t="s">
        <v>599</v>
      </c>
      <c r="F157" s="156" t="s">
        <v>1391</v>
      </c>
      <c r="G157" s="156" t="s">
        <v>1138</v>
      </c>
      <c r="H157" s="156" t="s">
        <v>1139</v>
      </c>
      <c r="I157" s="156" t="s">
        <v>1140</v>
      </c>
    </row>
    <row r="158" spans="1:9" ht="25.5">
      <c r="A158" t="str">
        <f t="shared" si="2"/>
        <v>Position Längseisen</v>
      </c>
      <c r="D158" t="s">
        <v>378</v>
      </c>
      <c r="E158" t="s">
        <v>600</v>
      </c>
      <c r="F158" s="156" t="s">
        <v>1141</v>
      </c>
      <c r="G158" s="156" t="s">
        <v>1142</v>
      </c>
      <c r="H158" s="156" t="s">
        <v>1143</v>
      </c>
      <c r="I158" s="156" t="s">
        <v>1144</v>
      </c>
    </row>
    <row r="159" spans="1:9" ht="25.5">
      <c r="A159" t="str">
        <f t="shared" si="2"/>
        <v>Längseisen (1/2 Durchm.)</v>
      </c>
      <c r="D159" t="s">
        <v>379</v>
      </c>
      <c r="E159" t="s">
        <v>601</v>
      </c>
      <c r="F159" s="156" t="s">
        <v>1145</v>
      </c>
      <c r="G159" s="156" t="s">
        <v>1146</v>
      </c>
      <c r="H159" s="156" t="s">
        <v>1147</v>
      </c>
      <c r="I159" s="156" t="s">
        <v>1148</v>
      </c>
    </row>
    <row r="160" spans="1:9" ht="25.5">
      <c r="A160" t="str">
        <f t="shared" si="2"/>
        <v>Toleranz bei Biegung der Bügel</v>
      </c>
      <c r="D160" s="166" t="s">
        <v>375</v>
      </c>
      <c r="E160" s="166" t="s">
        <v>646</v>
      </c>
      <c r="F160" s="196" t="s">
        <v>1149</v>
      </c>
      <c r="G160" s="196" t="s">
        <v>1150</v>
      </c>
      <c r="H160" s="196" t="s">
        <v>1151</v>
      </c>
      <c r="I160" s="196" t="s">
        <v>1152</v>
      </c>
    </row>
    <row r="161" spans="1:9" ht="25.5">
      <c r="A161" t="str">
        <f t="shared" si="2"/>
        <v>Schrauben (1/2 Durchm.)</v>
      </c>
      <c r="D161" t="s">
        <v>380</v>
      </c>
      <c r="E161" t="s">
        <v>602</v>
      </c>
      <c r="F161" s="156" t="s">
        <v>1153</v>
      </c>
      <c r="G161" s="156" t="s">
        <v>1154</v>
      </c>
      <c r="H161" s="156" t="s">
        <v>1155</v>
      </c>
      <c r="I161" s="156" t="s">
        <v>1156</v>
      </c>
    </row>
    <row r="162" spans="1:9">
      <c r="A162" t="str">
        <f t="shared" si="2"/>
        <v>bearbeitbare Zellen</v>
      </c>
      <c r="D162" s="152" t="s">
        <v>394</v>
      </c>
      <c r="E162" s="152" t="s">
        <v>597</v>
      </c>
      <c r="F162" s="199" t="s">
        <v>1131</v>
      </c>
      <c r="G162" s="199" t="s">
        <v>1132</v>
      </c>
      <c r="H162" s="199" t="s">
        <v>1133</v>
      </c>
      <c r="I162" s="199" t="s">
        <v>1134</v>
      </c>
    </row>
    <row r="163" spans="1:9" ht="25.5">
      <c r="A163" t="str">
        <f t="shared" si="2"/>
        <v>Min. geforderte Betondeckung [mm]</v>
      </c>
      <c r="D163" t="s">
        <v>381</v>
      </c>
      <c r="E163" t="s">
        <v>603</v>
      </c>
      <c r="F163" s="156" t="s">
        <v>1157</v>
      </c>
      <c r="G163" s="156" t="s">
        <v>1158</v>
      </c>
      <c r="H163" s="156" t="s">
        <v>1159</v>
      </c>
      <c r="I163" s="156" t="s">
        <v>1160</v>
      </c>
    </row>
    <row r="164" spans="1:9" ht="25.5">
      <c r="A164" t="str">
        <f t="shared" si="2"/>
        <v>Klasse Umweltexposition</v>
      </c>
      <c r="D164" t="s">
        <v>384</v>
      </c>
      <c r="E164" t="s">
        <v>526</v>
      </c>
      <c r="F164" s="156" t="s">
        <v>865</v>
      </c>
      <c r="G164" s="156" t="s">
        <v>866</v>
      </c>
      <c r="H164" s="156" t="s">
        <v>867</v>
      </c>
      <c r="I164" s="156" t="s">
        <v>868</v>
      </c>
    </row>
    <row r="165" spans="1:9">
      <c r="A165" t="str">
        <f t="shared" si="2"/>
        <v>Konstruktionsklasse</v>
      </c>
      <c r="D165" t="s">
        <v>48</v>
      </c>
      <c r="E165" t="s">
        <v>604</v>
      </c>
      <c r="F165" s="156" t="s">
        <v>1161</v>
      </c>
      <c r="G165" s="156" t="s">
        <v>1162</v>
      </c>
      <c r="H165" s="156" t="s">
        <v>1163</v>
      </c>
      <c r="I165" s="156" t="s">
        <v>1164</v>
      </c>
    </row>
    <row r="166" spans="1:9" ht="25.5">
      <c r="A166" t="str">
        <f t="shared" si="2"/>
        <v>Min. Betondeckung für die Bügel</v>
      </c>
      <c r="D166" t="s">
        <v>390</v>
      </c>
      <c r="E166" t="s">
        <v>645</v>
      </c>
      <c r="F166" s="156" t="s">
        <v>1165</v>
      </c>
      <c r="G166" s="156" t="s">
        <v>1166</v>
      </c>
      <c r="H166" s="156" t="s">
        <v>1167</v>
      </c>
      <c r="I166" s="156" t="s">
        <v>872</v>
      </c>
    </row>
    <row r="167" spans="1:9" ht="38.25">
      <c r="A167" t="str">
        <f t="shared" si="2"/>
        <v>Min. Betondeckung für die Längsstangen</v>
      </c>
      <c r="D167" t="s">
        <v>391</v>
      </c>
      <c r="E167" t="s">
        <v>527</v>
      </c>
      <c r="F167" s="156" t="s">
        <v>1168</v>
      </c>
      <c r="G167" s="156" t="s">
        <v>1169</v>
      </c>
      <c r="H167" s="156" t="s">
        <v>1170</v>
      </c>
      <c r="I167" s="156" t="s">
        <v>875</v>
      </c>
    </row>
    <row r="168" spans="1:9" ht="38.25">
      <c r="A168" t="str">
        <f t="shared" si="2"/>
        <v>Abstand von Achse der Längsstangen</v>
      </c>
      <c r="D168" t="s">
        <v>392</v>
      </c>
      <c r="E168" t="s">
        <v>605</v>
      </c>
      <c r="F168" s="156" t="s">
        <v>1171</v>
      </c>
      <c r="G168" s="156" t="s">
        <v>1172</v>
      </c>
      <c r="H168" s="156" t="s">
        <v>1173</v>
      </c>
      <c r="I168" s="156" t="s">
        <v>1174</v>
      </c>
    </row>
    <row r="169" spans="1:9">
      <c r="A169" t="str">
        <f t="shared" si="2"/>
        <v>bearbeitbare Zellen</v>
      </c>
      <c r="D169" s="152" t="s">
        <v>394</v>
      </c>
      <c r="E169" s="152" t="s">
        <v>597</v>
      </c>
      <c r="F169" s="199" t="s">
        <v>1131</v>
      </c>
      <c r="G169" s="199" t="s">
        <v>1132</v>
      </c>
      <c r="H169" s="199" t="s">
        <v>1133</v>
      </c>
      <c r="I169" s="199" t="s">
        <v>1134</v>
      </c>
    </row>
    <row r="170" spans="1:9">
      <c r="A170" t="str">
        <f t="shared" si="2"/>
        <v>Platten</v>
      </c>
      <c r="D170" t="s">
        <v>3</v>
      </c>
      <c r="E170" t="s">
        <v>606</v>
      </c>
      <c r="F170" s="156" t="s">
        <v>1175</v>
      </c>
      <c r="G170" s="156" t="s">
        <v>1176</v>
      </c>
      <c r="H170" s="156" t="s">
        <v>1177</v>
      </c>
      <c r="I170" s="156" t="s">
        <v>1178</v>
      </c>
    </row>
    <row r="171" spans="1:9">
      <c r="A171" t="str">
        <f t="shared" si="2"/>
        <v>bearbeitbare Zellen</v>
      </c>
      <c r="D171" s="152" t="s">
        <v>394</v>
      </c>
      <c r="E171" s="152" t="s">
        <v>597</v>
      </c>
      <c r="F171" s="199" t="s">
        <v>1131</v>
      </c>
      <c r="G171" s="199" t="s">
        <v>1132</v>
      </c>
      <c r="H171" s="199" t="s">
        <v>1133</v>
      </c>
      <c r="I171" s="199" t="s">
        <v>1134</v>
      </c>
    </row>
    <row r="172" spans="1:9">
      <c r="A172" t="str">
        <f t="shared" si="2"/>
        <v>Beiw. Verbindung Holz</v>
      </c>
      <c r="D172" t="s">
        <v>397</v>
      </c>
      <c r="E172" t="s">
        <v>607</v>
      </c>
      <c r="F172" s="156" t="s">
        <v>1179</v>
      </c>
      <c r="G172" s="156" t="s">
        <v>1180</v>
      </c>
      <c r="H172" s="156" t="s">
        <v>1181</v>
      </c>
      <c r="I172" s="156" t="s">
        <v>1182</v>
      </c>
    </row>
    <row r="173" spans="1:9">
      <c r="A173" t="str">
        <f t="shared" si="2"/>
        <v>Beiw. Material Stahl</v>
      </c>
      <c r="D173" t="s">
        <v>395</v>
      </c>
      <c r="E173" t="s">
        <v>608</v>
      </c>
      <c r="F173" s="156" t="s">
        <v>1183</v>
      </c>
      <c r="G173" s="156" t="s">
        <v>1184</v>
      </c>
      <c r="H173" s="156" t="s">
        <v>1185</v>
      </c>
      <c r="I173" s="156" t="s">
        <v>1186</v>
      </c>
    </row>
    <row r="174" spans="1:9">
      <c r="A174" t="str">
        <f t="shared" si="2"/>
        <v>Beiw. Material Beton</v>
      </c>
      <c r="D174" t="s">
        <v>396</v>
      </c>
      <c r="E174" t="s">
        <v>609</v>
      </c>
      <c r="F174" s="156" t="s">
        <v>1187</v>
      </c>
      <c r="G174" s="156" t="s">
        <v>1188</v>
      </c>
      <c r="H174" s="156" t="s">
        <v>1189</v>
      </c>
      <c r="I174" s="156" t="s">
        <v>1190</v>
      </c>
    </row>
    <row r="175" spans="1:9" ht="25.5">
      <c r="A175" t="str">
        <f t="shared" si="2"/>
        <v>Axiale Festigkeit - Beton</v>
      </c>
      <c r="D175" t="s">
        <v>447</v>
      </c>
      <c r="E175" t="s">
        <v>610</v>
      </c>
      <c r="F175" s="156" t="s">
        <v>1191</v>
      </c>
      <c r="G175" s="156" t="s">
        <v>1192</v>
      </c>
      <c r="H175" s="156" t="s">
        <v>1193</v>
      </c>
      <c r="I175" s="156" t="s">
        <v>1194</v>
      </c>
    </row>
    <row r="176" spans="1:9" ht="25.5">
      <c r="A176" t="str">
        <f t="shared" si="2"/>
        <v>Axiale Festigkeit - Holz</v>
      </c>
      <c r="D176" t="s">
        <v>448</v>
      </c>
      <c r="E176" t="s">
        <v>611</v>
      </c>
      <c r="F176" s="156" t="s">
        <v>1195</v>
      </c>
      <c r="G176" s="156" t="s">
        <v>1196</v>
      </c>
      <c r="H176" s="156" t="s">
        <v>1197</v>
      </c>
      <c r="I176" s="156" t="s">
        <v>1198</v>
      </c>
    </row>
    <row r="177" spans="1:9" ht="25.5">
      <c r="A177" t="str">
        <f t="shared" si="2"/>
        <v>Scherfestigkeit - Holz</v>
      </c>
      <c r="D177" t="s">
        <v>449</v>
      </c>
      <c r="E177" t="s">
        <v>612</v>
      </c>
      <c r="F177" s="156" t="s">
        <v>1199</v>
      </c>
      <c r="G177" s="156" t="s">
        <v>1200</v>
      </c>
      <c r="H177" s="156" t="s">
        <v>1201</v>
      </c>
      <c r="I177" s="156" t="s">
        <v>1202</v>
      </c>
    </row>
    <row r="178" spans="1:9" ht="25.5">
      <c r="A178" t="str">
        <f t="shared" si="2"/>
        <v>Scherfestigkeit - Stahl</v>
      </c>
      <c r="D178" t="s">
        <v>450</v>
      </c>
      <c r="E178" t="s">
        <v>613</v>
      </c>
      <c r="F178" s="156" t="s">
        <v>1203</v>
      </c>
      <c r="G178" s="156" t="s">
        <v>1204</v>
      </c>
      <c r="H178" s="156" t="s">
        <v>1205</v>
      </c>
      <c r="I178" s="156" t="s">
        <v>1206</v>
      </c>
    </row>
    <row r="179" spans="1:9" ht="25.5">
      <c r="A179" t="str">
        <f t="shared" si="2"/>
        <v>Seitensteifigkeit für Einzelschraube</v>
      </c>
      <c r="D179" t="s">
        <v>451</v>
      </c>
      <c r="E179" t="s">
        <v>614</v>
      </c>
      <c r="F179" s="156" t="s">
        <v>1207</v>
      </c>
      <c r="G179" s="156" t="s">
        <v>1208</v>
      </c>
      <c r="H179" s="156" t="s">
        <v>1209</v>
      </c>
      <c r="I179" s="156" t="s">
        <v>1210</v>
      </c>
    </row>
    <row r="180" spans="1:9">
      <c r="A180" t="str">
        <f t="shared" si="2"/>
        <v>ANMERKUNGEN</v>
      </c>
      <c r="D180" s="153" t="s">
        <v>452</v>
      </c>
      <c r="E180" s="153" t="s">
        <v>615</v>
      </c>
      <c r="F180" s="200" t="s">
        <v>1211</v>
      </c>
      <c r="G180" s="200" t="s">
        <v>1212</v>
      </c>
      <c r="H180" s="200" t="s">
        <v>615</v>
      </c>
      <c r="I180" s="200" t="s">
        <v>1212</v>
      </c>
    </row>
    <row r="181" spans="1:9" ht="76.5">
      <c r="A181" t="str">
        <f t="shared" si="2"/>
        <v>Vor dem Bau müssen alle Berechnungen vom verantwortlichen Planer geprüft und freigegeben werden.</v>
      </c>
      <c r="D181" t="s">
        <v>453</v>
      </c>
      <c r="E181" t="s">
        <v>616</v>
      </c>
      <c r="F181" s="156" t="s">
        <v>1213</v>
      </c>
      <c r="G181" s="156" t="s">
        <v>1214</v>
      </c>
      <c r="H181" s="156" t="s">
        <v>1215</v>
      </c>
      <c r="I181" s="156" t="s">
        <v>1216</v>
      </c>
    </row>
    <row r="182" spans="1:9" ht="63.75">
      <c r="A182" t="str">
        <f t="shared" si="2"/>
        <v>Die Werte der mechanischen Festigkeit und Geometrie beziehen sich auf die Produktzertifizierung.</v>
      </c>
      <c r="D182" t="s">
        <v>454</v>
      </c>
      <c r="E182" t="s">
        <v>617</v>
      </c>
      <c r="F182" s="156" t="s">
        <v>1217</v>
      </c>
      <c r="G182" s="156" t="s">
        <v>1218</v>
      </c>
      <c r="H182" s="156" t="s">
        <v>1219</v>
      </c>
      <c r="I182" s="156" t="s">
        <v>1220</v>
      </c>
    </row>
    <row r="183" spans="1:9" ht="102">
      <c r="A183" t="str">
        <f t="shared" si="2"/>
        <v>Die Überprüfung der Festigkeit des Systems auf der Seite der Verankerung am Beton muss separat gemäß den Angaben in ETA-22/0806 - Anhang E1 durchgeführt werden.</v>
      </c>
      <c r="D183" t="s">
        <v>659</v>
      </c>
      <c r="E183" t="s">
        <v>658</v>
      </c>
      <c r="F183" s="156" t="s">
        <v>1221</v>
      </c>
      <c r="G183" s="156" t="s">
        <v>1222</v>
      </c>
      <c r="H183" s="156" t="s">
        <v>1223</v>
      </c>
      <c r="I183" s="156" t="s">
        <v>1224</v>
      </c>
    </row>
    <row r="184" spans="1:9" ht="229.5">
      <c r="A184" t="str">
        <f t="shared" si="2"/>
        <v>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v>
      </c>
      <c r="D184" t="s">
        <v>455</v>
      </c>
      <c r="E184" t="s">
        <v>618</v>
      </c>
      <c r="F184" s="156" t="s">
        <v>1225</v>
      </c>
      <c r="G184" s="156" t="s">
        <v>1226</v>
      </c>
      <c r="H184" s="156" t="s">
        <v>1227</v>
      </c>
      <c r="I184" s="156" t="s">
        <v>1228</v>
      </c>
    </row>
    <row r="185" spans="1:9" ht="409.5">
      <c r="A185" t="str">
        <f t="shared" si="2"/>
        <v>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v>
      </c>
      <c r="D185" t="s">
        <v>456</v>
      </c>
      <c r="E185" t="s">
        <v>619</v>
      </c>
      <c r="F185" s="156" t="s">
        <v>1229</v>
      </c>
      <c r="G185" s="156" t="s">
        <v>1230</v>
      </c>
      <c r="H185" s="156" t="s">
        <v>1231</v>
      </c>
      <c r="I185" s="156" t="s">
        <v>1232</v>
      </c>
    </row>
    <row r="186" spans="1:9">
      <c r="A186" t="str">
        <f t="shared" si="2"/>
        <v>(Biegung von Betonbalken)</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DE</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Bei Aggregatgrößen von mehr als 15 mm die Bedingungen für den Betonguss bewerten</v>
      </c>
      <c r="D221" t="s">
        <v>649</v>
      </c>
      <c r="E221" t="s">
        <v>655</v>
      </c>
      <c r="F221" s="156" t="s">
        <v>1334</v>
      </c>
      <c r="G221" s="156" t="s">
        <v>1335</v>
      </c>
      <c r="H221" s="156" t="s">
        <v>1336</v>
      </c>
      <c r="I221" s="156" t="s">
        <v>1337</v>
      </c>
    </row>
    <row r="222" spans="1:9" ht="76.5">
      <c r="A222" t="str">
        <f>IF($B$220=$D$220,D222,IF($B$220=$E$220,E222,IF($B$220=$F$220,F222,IF($B$220=$G$220,G222,IF($B$220=$H$220,H222,IF($B$220=$I$220,I222,"ERROR"))))))</f>
        <v>(*) Bei nicht symmetrischer Verbindung mit einer einzelnen Verbindungsebene die Steifigkeit verdoppeln</v>
      </c>
      <c r="D222" t="s">
        <v>657</v>
      </c>
      <c r="E222" t="s">
        <v>656</v>
      </c>
      <c r="F222" s="156" t="s">
        <v>1338</v>
      </c>
      <c r="G222" s="156" t="s">
        <v>1339</v>
      </c>
      <c r="H222" s="156" t="s">
        <v>1340</v>
      </c>
      <c r="I222" s="156" t="s">
        <v>1341</v>
      </c>
    </row>
    <row r="223" spans="1:9" ht="25.5">
      <c r="A223" t="str">
        <f>IF($B$220=$D$220,D223,IF($B$220=$E$220,E223,IF($B$220=$F$220,F223,IF($B$220=$G$220,G223,IF($B$220=$H$220,H223,IF($B$220=$I$220,I223,"ERROR"))))))</f>
        <v>Min. geforderte Betondeckung</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Holz</v>
      </c>
      <c r="D224" t="s">
        <v>678</v>
      </c>
      <c r="E224" t="s">
        <v>679</v>
      </c>
      <c r="F224" s="156" t="s">
        <v>1346</v>
      </c>
      <c r="G224" s="156" t="s">
        <v>1347</v>
      </c>
      <c r="H224" s="156" t="s">
        <v>1348</v>
      </c>
      <c r="I224" s="156" t="s">
        <v>1349</v>
      </c>
    </row>
    <row r="225" spans="1:9">
      <c r="A225" t="str">
        <f t="shared" si="4"/>
        <v>Beton</v>
      </c>
      <c r="D225" t="s">
        <v>23</v>
      </c>
      <c r="E225" t="s">
        <v>327</v>
      </c>
      <c r="F225" s="156" t="s">
        <v>846</v>
      </c>
      <c r="G225" s="156" t="s">
        <v>847</v>
      </c>
      <c r="H225" s="156" t="s">
        <v>848</v>
      </c>
      <c r="I225" s="156" t="s">
        <v>849</v>
      </c>
    </row>
    <row r="226" spans="1:9">
      <c r="A226" t="str">
        <f t="shared" si="4"/>
        <v>Beiwert</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ANMERKUNGEN</v>
      </c>
    </row>
    <row r="367" spans="1:1" ht="15" customHeight="1">
      <c r="A367" t="str">
        <f>traduzioni!A181</f>
        <v>Vor dem Bau müssen alle Berechnungen vom verantwortlichen Planer geprüft und freigegeben werden.</v>
      </c>
    </row>
    <row r="368" spans="1:1" ht="15" customHeight="1">
      <c r="A368" t="str">
        <f>traduzioni!A182</f>
        <v>Die Werte der mechanischen Festigkeit und Geometrie beziehen sich auf die Produktzertifizierung.</v>
      </c>
    </row>
    <row r="369" spans="1:20" ht="15" customHeight="1">
      <c r="A369" t="str">
        <f>traduzioni!A183</f>
        <v>Die Überprüfung der Festigkeit des Systems auf der Seite der Verankerung am Beton muss separat gemäß den Angaben in ETA-22/0806 - Anhang E1 durchgeführt werden.</v>
      </c>
    </row>
    <row r="370" spans="1:20" ht="30" customHeight="1">
      <c r="A370" s="238" t="str">
        <f>traduzioni!A184</f>
        <v>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1" t="s">
        <v>1431</v>
      </c>
      <c r="E2" s="158" t="str">
        <f>traduzioni!A216</f>
        <v>Language</v>
      </c>
      <c r="F2" s="157"/>
    </row>
    <row r="3" spans="1:11">
      <c r="A3" s="157"/>
      <c r="B3" s="157"/>
      <c r="C3" s="157"/>
      <c r="D3" s="241"/>
      <c r="E3" s="242" t="s">
        <v>388</v>
      </c>
      <c r="F3" s="157"/>
    </row>
    <row r="4" spans="1:11">
      <c r="A4" s="157"/>
      <c r="B4" s="157"/>
      <c r="C4" s="157"/>
      <c r="D4" s="241"/>
      <c r="E4" s="242"/>
      <c r="F4" s="157"/>
    </row>
    <row r="5" spans="1:11">
      <c r="A5" s="157"/>
      <c r="B5" s="157"/>
      <c r="C5" s="157"/>
      <c r="D5" s="157"/>
      <c r="E5" s="157"/>
      <c r="F5" s="157"/>
    </row>
    <row r="6" spans="1:11" ht="15.75">
      <c r="A6" s="157"/>
      <c r="B6" s="157"/>
      <c r="C6" s="157"/>
      <c r="D6" s="159" t="s">
        <v>480</v>
      </c>
      <c r="E6" s="157"/>
      <c r="F6" s="157"/>
    </row>
    <row r="7" spans="1:11">
      <c r="A7" s="157"/>
      <c r="B7" s="157"/>
      <c r="C7" s="240" t="str">
        <f>traduzioni!A190</f>
        <v>GENERAL TERMS AND CONDITIONS OF THE LICENSE AGREEMENT FOR THE USE OF THE SPREADSHEET "TC_FUSION_CALCULATOR"</v>
      </c>
      <c r="D7" s="240"/>
      <c r="E7" s="240"/>
      <c r="F7" s="157"/>
    </row>
    <row r="8" spans="1:11" ht="18" customHeight="1">
      <c r="A8" s="157"/>
      <c r="B8" s="157"/>
      <c r="C8" s="240"/>
      <c r="D8" s="240"/>
      <c r="E8" s="240"/>
      <c r="F8" s="157"/>
    </row>
    <row r="9" spans="1:11" ht="18" customHeight="1">
      <c r="A9" s="157"/>
      <c r="B9" s="157"/>
      <c r="C9" s="240"/>
      <c r="D9" s="240"/>
      <c r="E9" s="240"/>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39"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39"/>
      <c r="E14" s="239"/>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5"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5"/>
      <c r="E18" s="245"/>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39"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39"/>
      <c r="E22" s="239"/>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39"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39"/>
      <c r="E26" s="239"/>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39"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39"/>
      <c r="E30" s="239"/>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39"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39"/>
      <c r="E34" s="239"/>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39"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39"/>
      <c r="E38" s="239"/>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39"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39"/>
      <c r="E42" s="239"/>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39" t="str">
        <f>traduzioni!A208</f>
        <v>These general conditions constitute the entire agreement between RB and the user regarding the subject matter and replace all previous, oral or written agreements, as well as any agreements between RB and the user.</v>
      </c>
      <c r="D46" s="239"/>
      <c r="E46" s="239"/>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39" t="str">
        <f>traduzioni!A210</f>
        <v>In the event of differences between versions of these conditions in the various languages, the Italian text is binding and takes precedence with respect to the translations.</v>
      </c>
      <c r="D50" s="239"/>
      <c r="E50" s="239"/>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39"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39"/>
      <c r="E54" s="239"/>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39" t="str">
        <f>traduzioni!A214</f>
        <v>Refer to the privacy policy available at the link:</v>
      </c>
      <c r="D58" s="239"/>
      <c r="E58" s="239"/>
      <c r="F58" s="68"/>
    </row>
    <row r="59" spans="1:10" ht="12.75" customHeight="1">
      <c r="A59" s="68"/>
      <c r="B59" s="68"/>
      <c r="C59" s="244" t="s">
        <v>483</v>
      </c>
      <c r="D59" s="239"/>
      <c r="E59" s="239"/>
      <c r="F59" s="68"/>
    </row>
    <row r="60" spans="1:10" ht="12.75" customHeight="1">
      <c r="A60" s="68"/>
      <c r="B60" s="68"/>
      <c r="C60" s="68"/>
      <c r="D60" s="68"/>
      <c r="E60" s="68"/>
      <c r="F60" s="68"/>
    </row>
    <row r="61" spans="1:10">
      <c r="A61" s="243" t="str">
        <f>traduzioni!A215</f>
        <v>ACCEPT</v>
      </c>
      <c r="B61" s="243"/>
      <c r="C61" s="243"/>
      <c r="D61" s="243"/>
      <c r="E61" s="243"/>
      <c r="F61" s="243"/>
    </row>
    <row r="62" spans="1:10">
      <c r="A62" s="243"/>
      <c r="B62" s="243"/>
      <c r="C62" s="243"/>
      <c r="D62" s="243"/>
      <c r="E62" s="243"/>
      <c r="F62" s="243"/>
    </row>
    <row r="63" spans="1:10">
      <c r="A63" s="243"/>
      <c r="B63" s="243"/>
      <c r="C63" s="243"/>
      <c r="D63" s="243"/>
      <c r="E63" s="243"/>
      <c r="F63" s="243"/>
    </row>
  </sheetData>
  <sheetProtection algorithmName="SHA-512" hashValue="vYO6GMqTHjCiPq6gVx3Ax0gO/qcd2K89ssP5Q1GfLbtFfDqGHJilliwlP1RFvxHJS96WJE6bqguXabq+JuD+uA==" saltValue="F/fWZvI+AJErCUlIEZlTiw==" spinCount="100000" sheet="1" objects="1" scenarios="1" selectLockedCells="1"/>
  <mergeCells count="17">
    <mergeCell ref="C58:E58"/>
    <mergeCell ref="C14:E14"/>
    <mergeCell ref="C7:E9"/>
    <mergeCell ref="D2:D4"/>
    <mergeCell ref="E3:E4"/>
    <mergeCell ref="A61:F63"/>
    <mergeCell ref="C59:E59"/>
    <mergeCell ref="C18:E18"/>
    <mergeCell ref="C22:E22"/>
    <mergeCell ref="C26:E26"/>
    <mergeCell ref="C30:E30"/>
    <mergeCell ref="C34:E34"/>
    <mergeCell ref="C38:E38"/>
    <mergeCell ref="C42:E42"/>
    <mergeCell ref="C46:E46"/>
    <mergeCell ref="C50:E50"/>
    <mergeCell ref="C54:E54"/>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24" sqref="H24"/>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37" t="str">
        <f>traduzioni!A4</f>
        <v>BERECHNUNG TC FUSION</v>
      </c>
      <c r="F2" s="237"/>
      <c r="G2" s="237"/>
      <c r="H2" s="237"/>
      <c r="I2" s="237"/>
      <c r="J2" s="237"/>
      <c r="K2" s="68"/>
    </row>
    <row r="3" spans="4:11">
      <c r="D3" s="68"/>
      <c r="E3" s="237"/>
      <c r="F3" s="237"/>
      <c r="G3" s="237"/>
      <c r="H3" s="237"/>
      <c r="I3" s="237"/>
      <c r="J3" s="237"/>
      <c r="K3" s="68"/>
    </row>
    <row r="4" spans="4:11">
      <c r="D4" s="68"/>
      <c r="E4" s="237"/>
      <c r="F4" s="237"/>
      <c r="G4" s="237"/>
      <c r="H4" s="237"/>
      <c r="I4" s="237"/>
      <c r="J4" s="237"/>
      <c r="K4" s="68"/>
    </row>
    <row r="5" spans="4:11">
      <c r="D5" s="68"/>
      <c r="E5" s="237"/>
      <c r="F5" s="237"/>
      <c r="G5" s="237"/>
      <c r="H5" s="237"/>
      <c r="I5" s="237"/>
      <c r="J5" s="237"/>
      <c r="K5" s="68"/>
    </row>
    <row r="6" spans="4:11">
      <c r="D6" s="68"/>
      <c r="E6" s="237"/>
      <c r="F6" s="237"/>
      <c r="G6" s="237"/>
      <c r="H6" s="237"/>
      <c r="I6" s="237"/>
      <c r="J6" s="237"/>
      <c r="K6" s="69" t="s">
        <v>1437</v>
      </c>
    </row>
    <row r="7" spans="4:11"/>
    <row r="8" spans="4:11" ht="15" customHeight="1">
      <c r="D8" s="214" t="str">
        <f>traduzioni!A5</f>
        <v xml:space="preserve">Allgemeine Informationen </v>
      </c>
      <c r="E8" s="70"/>
      <c r="F8" s="71"/>
      <c r="G8" s="71" t="str">
        <f>traduzioni!A6</f>
        <v>Datum</v>
      </c>
      <c r="H8" s="72">
        <f ca="1">TODAY()</f>
        <v>46202</v>
      </c>
      <c r="I8" s="70"/>
      <c r="J8" s="70" t="str">
        <f>traduzioni!A216</f>
        <v>Language</v>
      </c>
      <c r="K8" s="176" t="s">
        <v>671</v>
      </c>
    </row>
    <row r="9" spans="4:11" ht="15" customHeight="1">
      <c r="D9" s="215"/>
      <c r="E9" s="35"/>
      <c r="F9" s="38"/>
      <c r="G9" s="38" t="str">
        <f>traduzioni!A7</f>
        <v>Projekt</v>
      </c>
      <c r="H9" s="234"/>
      <c r="I9" s="235"/>
      <c r="J9" s="235"/>
      <c r="K9" s="236"/>
    </row>
    <row r="10" spans="4:11" ht="15" customHeight="1">
      <c r="D10" s="215"/>
      <c r="E10" s="35"/>
      <c r="F10" s="38"/>
      <c r="G10" s="38" t="str">
        <f>traduzioni!A8</f>
        <v>Planer</v>
      </c>
      <c r="H10" s="234"/>
      <c r="I10" s="235"/>
      <c r="J10" s="235"/>
      <c r="K10" s="236"/>
    </row>
    <row r="11" spans="4:11" ht="15" customHeight="1">
      <c r="D11" s="216"/>
      <c r="E11" s="73"/>
      <c r="F11" s="74"/>
      <c r="G11" s="74" t="str">
        <f>traduzioni!A9</f>
        <v>Verbindung Nr.</v>
      </c>
      <c r="H11" s="231"/>
      <c r="I11" s="232"/>
      <c r="J11" s="232"/>
      <c r="K11" s="233"/>
    </row>
    <row r="12" spans="4:11" ht="15" customHeight="1"/>
    <row r="13" spans="4:11" ht="15" customHeight="1">
      <c r="D13" s="214" t="str">
        <f>traduzioni!A10</f>
        <v>Norm</v>
      </c>
      <c r="E13" s="134"/>
      <c r="F13" s="10"/>
      <c r="G13" s="71" t="s">
        <v>650</v>
      </c>
      <c r="H13" s="70" t="s">
        <v>1354</v>
      </c>
      <c r="I13" s="134"/>
      <c r="J13" s="134"/>
      <c r="K13" s="11"/>
    </row>
    <row r="14" spans="4:11" ht="15" customHeight="1">
      <c r="D14" s="215"/>
      <c r="E14" s="35"/>
      <c r="F14" s="38"/>
      <c r="G14" s="38" t="str">
        <f>traduzioni!A224</f>
        <v>Holz</v>
      </c>
      <c r="H14" s="177" t="s">
        <v>1352</v>
      </c>
      <c r="I14" s="38"/>
      <c r="J14" s="35"/>
      <c r="K14" s="79"/>
    </row>
    <row r="15" spans="4:11" ht="15" customHeight="1">
      <c r="D15" s="216"/>
      <c r="E15" s="73"/>
      <c r="F15" s="74"/>
      <c r="G15" s="74" t="str">
        <f>traduzioni!A225</f>
        <v>Beton</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b">
        <f>IF(K8="IT","IT",IF(K8="EN","EN"))</f>
        <v>0</v>
      </c>
      <c r="D19" s="214" t="str">
        <f>traduzioni!A13</f>
        <v>Beanspruchungen</v>
      </c>
      <c r="E19" s="70"/>
      <c r="F19" s="71"/>
      <c r="G19" s="71" t="str">
        <f>traduzioni!A14</f>
        <v xml:space="preserve">Lasteinwirkungsdauer </v>
      </c>
      <c r="H19" s="179" t="s">
        <v>764</v>
      </c>
      <c r="I19" s="70"/>
      <c r="J19" s="70"/>
      <c r="K19" s="75"/>
    </row>
    <row r="20" spans="1:11" ht="15" customHeight="1">
      <c r="D20" s="215"/>
      <c r="E20" s="35" t="s">
        <v>78</v>
      </c>
      <c r="F20" s="38"/>
      <c r="G20" s="38" t="str">
        <f>traduzioni!A226</f>
        <v>Beiwert</v>
      </c>
      <c r="H20" s="81">
        <f>CLT!N12</f>
        <v>1</v>
      </c>
      <c r="I20" s="35"/>
      <c r="J20" s="35" t="s">
        <v>376</v>
      </c>
      <c r="K20" s="79"/>
    </row>
    <row r="21" spans="1:11" ht="15" customHeight="1">
      <c r="D21" s="215"/>
      <c r="E21" s="35" t="s">
        <v>149</v>
      </c>
      <c r="F21" s="38"/>
      <c r="G21" s="38" t="str">
        <f>traduzioni!A15</f>
        <v>Länge Verbindung</v>
      </c>
      <c r="H21" s="35">
        <v>1000</v>
      </c>
      <c r="I21" s="35"/>
      <c r="J21" s="35" t="s">
        <v>35</v>
      </c>
      <c r="K21" s="79"/>
    </row>
    <row r="22" spans="1:11" ht="15" customHeight="1">
      <c r="D22" s="215"/>
      <c r="E22" s="35"/>
      <c r="F22" s="38"/>
      <c r="G22" s="38"/>
      <c r="H22" s="35"/>
      <c r="I22" s="35"/>
      <c r="J22" s="35"/>
      <c r="K22" s="79"/>
    </row>
    <row r="23" spans="1:11" ht="15" customHeight="1">
      <c r="D23" s="215"/>
      <c r="E23" s="35" t="s">
        <v>1392</v>
      </c>
      <c r="F23" s="38"/>
      <c r="G23" s="38" t="str">
        <f>traduzioni!A16</f>
        <v>Normalkraft senkrecht zum Anschluss</v>
      </c>
      <c r="H23" s="177">
        <v>0</v>
      </c>
      <c r="I23" s="35"/>
      <c r="J23" s="35" t="s">
        <v>250</v>
      </c>
      <c r="K23" s="79" t="str">
        <f>IF(H23&gt;0,traduzioni!A22,traduzioni!A23)</f>
        <v>- Druckkraft</v>
      </c>
    </row>
    <row r="24" spans="1:11" ht="15" customHeight="1">
      <c r="D24" s="215"/>
      <c r="E24" s="35" t="s">
        <v>1393</v>
      </c>
      <c r="F24" s="38"/>
      <c r="G24" s="38" t="str">
        <f>traduzioni!A17</f>
        <v>Querkraft in x-Richtung</v>
      </c>
      <c r="H24" s="177">
        <v>0</v>
      </c>
      <c r="I24" s="35"/>
      <c r="J24" s="35" t="s">
        <v>250</v>
      </c>
      <c r="K24" s="79"/>
    </row>
    <row r="25" spans="1:11" ht="15" customHeight="1">
      <c r="D25" s="215"/>
      <c r="E25" s="35" t="s">
        <v>1394</v>
      </c>
      <c r="F25" s="38"/>
      <c r="G25" s="38" t="str">
        <f>traduzioni!A18</f>
        <v>Querkraft in z-Richtung</v>
      </c>
      <c r="H25" s="177">
        <v>0</v>
      </c>
      <c r="I25" s="35"/>
      <c r="J25" s="35" t="s">
        <v>250</v>
      </c>
      <c r="K25" s="79"/>
    </row>
    <row r="26" spans="1:11" ht="15" customHeight="1">
      <c r="D26" s="215"/>
      <c r="E26" s="35" t="s">
        <v>1395</v>
      </c>
      <c r="F26" s="38"/>
      <c r="G26" s="38" t="str">
        <f>traduzioni!A19</f>
        <v>Biegemoment parallel zur Verbindung</v>
      </c>
      <c r="H26" s="177">
        <v>11.9</v>
      </c>
      <c r="I26" s="35"/>
      <c r="J26" s="35" t="s">
        <v>251</v>
      </c>
      <c r="K26" s="79" t="str">
        <f>IF(H26&gt;0,traduzioni!A24,traduzioni!A25)</f>
        <v>+ untere Fasern unter Zugspannung</v>
      </c>
    </row>
    <row r="27" spans="1:11" ht="15" customHeight="1">
      <c r="D27" s="215"/>
      <c r="E27" s="35"/>
      <c r="F27" s="38"/>
      <c r="G27" s="38" t="str">
        <f>traduzioni!A20</f>
        <v>Untere Fasern unter Zugspannung</v>
      </c>
      <c r="H27" s="35" t="str">
        <f>IF(H26&gt;0,"POS","NEG")</f>
        <v>POS</v>
      </c>
      <c r="I27" s="35"/>
      <c r="J27" s="35"/>
      <c r="K27" s="79"/>
    </row>
    <row r="28" spans="1:11" ht="15" customHeight="1">
      <c r="D28" s="216"/>
      <c r="E28" s="73" t="s">
        <v>1396</v>
      </c>
      <c r="F28" s="74"/>
      <c r="G28" s="74" t="str">
        <f>traduzioni!A21</f>
        <v>Moment senkrecht zur Verbindung, Ebene-xz</v>
      </c>
      <c r="H28" s="180">
        <v>0</v>
      </c>
      <c r="I28" s="73"/>
      <c r="J28" s="73" t="s">
        <v>251</v>
      </c>
      <c r="K28" s="80" t="str">
        <f>traduzioni!A186</f>
        <v>(Biegung von Betonbalken)</v>
      </c>
    </row>
    <row r="29" spans="1:11" ht="15" customHeight="1"/>
    <row r="30" spans="1:11" ht="15" customHeight="1">
      <c r="D30" s="221" t="str">
        <f>traduzioni!A32</f>
        <v>Zusammensetzung Platte</v>
      </c>
      <c r="E30" s="70"/>
      <c r="F30" s="71"/>
      <c r="G30" s="71" t="str">
        <f>traduzioni!A33</f>
        <v>Klasse</v>
      </c>
      <c r="H30" s="179" t="s">
        <v>70</v>
      </c>
      <c r="I30" s="70"/>
      <c r="J30" s="70"/>
      <c r="K30" s="75"/>
    </row>
    <row r="31" spans="1:11" ht="15" customHeight="1">
      <c r="D31" s="222"/>
      <c r="E31" s="35"/>
      <c r="F31" s="38"/>
      <c r="G31" s="38" t="str">
        <f>traduzioni!A34</f>
        <v>Anz. Schichten</v>
      </c>
      <c r="H31" s="177" t="s">
        <v>662</v>
      </c>
      <c r="I31" s="35"/>
      <c r="J31" s="35"/>
      <c r="K31" s="79"/>
    </row>
    <row r="32" spans="1:11" ht="15" customHeight="1">
      <c r="D32" s="222"/>
      <c r="E32" s="35"/>
      <c r="F32" s="38"/>
      <c r="G32" s="38" t="str">
        <f>traduzioni!A35</f>
        <v>Typ</v>
      </c>
      <c r="H32" s="226" t="s">
        <v>663</v>
      </c>
      <c r="I32" s="227"/>
      <c r="J32" s="228"/>
      <c r="K32" s="79"/>
    </row>
    <row r="33" spans="4:14" ht="15" customHeight="1">
      <c r="D33" s="222"/>
      <c r="E33" s="35"/>
      <c r="F33" s="38"/>
      <c r="G33" s="38" t="str">
        <f>traduzioni!A36</f>
        <v>Stärke</v>
      </c>
      <c r="H33" s="35">
        <f>VLOOKUP(H32,CLT!F24:H76,3,FALSE)</f>
        <v>260</v>
      </c>
      <c r="I33" s="35"/>
      <c r="J33" s="35" t="s">
        <v>35</v>
      </c>
      <c r="K33" s="79"/>
    </row>
    <row r="34" spans="4:14" ht="15" customHeight="1">
      <c r="D34" s="223"/>
      <c r="E34" s="73"/>
      <c r="F34" s="74"/>
      <c r="G34" s="74" t="str">
        <f>traduzioni!A37</f>
        <v xml:space="preserve">Ausrichtung </v>
      </c>
      <c r="H34" s="180" t="s">
        <v>97</v>
      </c>
      <c r="I34" s="224" t="str">
        <f>IF($H$34="L",traduzioni!A38,IF(H34="T",traduzioni!A39))</f>
        <v>L-Fasern äußere Schichten senkrecht zur Verbindungslinie</v>
      </c>
      <c r="J34" s="224"/>
      <c r="K34" s="225"/>
    </row>
    <row r="35" spans="4:14" ht="15" customHeight="1"/>
    <row r="36" spans="4:14" ht="15" customHeight="1">
      <c r="D36" s="214" t="str">
        <f>traduzioni!A40</f>
        <v>Schrauben</v>
      </c>
      <c r="E36" s="70"/>
      <c r="F36" s="71"/>
      <c r="G36" s="71" t="str">
        <f>traduzioni!A41</f>
        <v>Schraubentyp</v>
      </c>
      <c r="H36" s="179" t="s">
        <v>660</v>
      </c>
      <c r="I36" s="70"/>
      <c r="J36" s="70"/>
      <c r="K36" s="75"/>
    </row>
    <row r="37" spans="4:14" ht="15" customHeight="1">
      <c r="D37" s="215"/>
      <c r="E37" s="35"/>
      <c r="F37" s="38"/>
      <c r="G37" s="38"/>
      <c r="H37" s="177" t="s">
        <v>661</v>
      </c>
      <c r="I37" s="35"/>
      <c r="J37" s="35"/>
      <c r="K37" s="79"/>
    </row>
    <row r="38" spans="4:14" ht="15" customHeight="1">
      <c r="D38" s="215"/>
      <c r="E38" s="35" t="s">
        <v>21</v>
      </c>
      <c r="F38" s="38"/>
      <c r="G38" s="38" t="str">
        <f>traduzioni!A42</f>
        <v>Durchmesser</v>
      </c>
      <c r="H38" s="35">
        <f>VLOOKUP(H36,SCREWS!E11:F14,2,FALSE)</f>
        <v>11</v>
      </c>
      <c r="I38" s="35"/>
      <c r="J38" s="35" t="s">
        <v>35</v>
      </c>
      <c r="K38" s="79"/>
    </row>
    <row r="39" spans="4:14" ht="15" customHeight="1">
      <c r="D39" s="215"/>
      <c r="E39" s="35" t="s">
        <v>22</v>
      </c>
      <c r="F39" s="38"/>
      <c r="G39" s="38" t="str">
        <f>traduzioni!A43</f>
        <v xml:space="preserve">Länge </v>
      </c>
      <c r="H39" s="35">
        <f>VLOOKUP(H37,SCREWS!X28:AJ98,3,FALSE)</f>
        <v>450</v>
      </c>
      <c r="I39" s="35"/>
      <c r="J39" s="35" t="s">
        <v>35</v>
      </c>
      <c r="K39" s="79"/>
    </row>
    <row r="40" spans="4:14" ht="15" customHeight="1">
      <c r="D40" s="215"/>
      <c r="E40" s="35" t="s">
        <v>157</v>
      </c>
      <c r="F40" s="38"/>
      <c r="G40" s="38" t="str">
        <f>traduzioni!A44</f>
        <v>Oberer Abstand</v>
      </c>
      <c r="H40" s="177">
        <v>200</v>
      </c>
      <c r="I40" s="35"/>
      <c r="J40" s="35" t="s">
        <v>35</v>
      </c>
      <c r="K40" s="79" t="str">
        <f>IF(H40&lt;=300,IF(H40&gt;10*H38,"emin&lt;esup&lt;emax","out of min/max spacing!"))</f>
        <v>emin&lt;esup&lt;emax</v>
      </c>
    </row>
    <row r="41" spans="4:14" ht="15" customHeight="1">
      <c r="D41" s="215"/>
      <c r="E41" s="35" t="s">
        <v>158</v>
      </c>
      <c r="F41" s="38"/>
      <c r="G41" s="38" t="str">
        <f>traduzioni!A45</f>
        <v>Unterer Abstand</v>
      </c>
      <c r="H41" s="177">
        <v>200</v>
      </c>
      <c r="I41" s="35"/>
      <c r="J41" s="35" t="s">
        <v>35</v>
      </c>
      <c r="K41" s="79" t="str">
        <f>IF(H41&lt;=300,IF(H41&gt;10*H38,"emin&lt;einf&lt;emax","out of min/max spacing!"))</f>
        <v>emin&lt;einf&lt;emax</v>
      </c>
    </row>
    <row r="42" spans="4:14" ht="15" customHeight="1">
      <c r="D42" s="215"/>
      <c r="E42" s="35"/>
      <c r="F42" s="38"/>
      <c r="G42" s="38" t="str">
        <f>traduzioni!A46</f>
        <v>Schalung (Y/N)</v>
      </c>
      <c r="H42" s="177" t="s">
        <v>307</v>
      </c>
      <c r="I42" s="149">
        <v>20</v>
      </c>
      <c r="J42" s="35" t="s">
        <v>35</v>
      </c>
      <c r="K42" s="79"/>
    </row>
    <row r="43" spans="4:14" ht="15" customHeight="1">
      <c r="D43" s="215"/>
      <c r="E43" s="35" t="s">
        <v>234</v>
      </c>
      <c r="F43" s="38"/>
      <c r="G43" s="38" t="str">
        <f>traduzioni!A47</f>
        <v>Anzahl obere Schrauben/Meter</v>
      </c>
      <c r="H43" s="81">
        <f>H21/H40</f>
        <v>5</v>
      </c>
      <c r="I43" s="35"/>
      <c r="J43" s="35" t="s">
        <v>275</v>
      </c>
      <c r="K43" s="79"/>
    </row>
    <row r="44" spans="4:14" ht="15" customHeight="1">
      <c r="D44" s="215"/>
      <c r="E44" s="35" t="s">
        <v>235</v>
      </c>
      <c r="F44" s="38"/>
      <c r="G44" s="38" t="str">
        <f>traduzioni!A48</f>
        <v>Anzahl untere Schrauben/Meter</v>
      </c>
      <c r="H44" s="81">
        <f>H21/H41</f>
        <v>5</v>
      </c>
      <c r="I44" s="35"/>
      <c r="J44" s="35" t="s">
        <v>275</v>
      </c>
      <c r="K44" s="79"/>
    </row>
    <row r="45" spans="4:14" ht="15" customHeight="1">
      <c r="D45" s="215"/>
      <c r="E45" s="35" t="s">
        <v>154</v>
      </c>
      <c r="F45" s="38"/>
      <c r="G45" s="38" t="str">
        <f>traduzioni!A49</f>
        <v>Min. Länge Verankerung (Beton)</v>
      </c>
      <c r="H45" s="35">
        <f>MAX(9*H38,100)</f>
        <v>100</v>
      </c>
      <c r="I45" s="35"/>
      <c r="J45" s="35" t="s">
        <v>35</v>
      </c>
      <c r="K45" s="79"/>
    </row>
    <row r="46" spans="4:14" ht="15" customHeight="1">
      <c r="D46" s="215"/>
      <c r="E46" s="35" t="s">
        <v>155</v>
      </c>
      <c r="F46" s="38"/>
      <c r="G46" s="38" t="str">
        <f>traduzioni!A50</f>
        <v>Min. Länge Überlappung (Beton)</v>
      </c>
      <c r="H46" s="35">
        <f>MAX(14*H38,150)</f>
        <v>154</v>
      </c>
      <c r="J46" s="35" t="s">
        <v>35</v>
      </c>
      <c r="K46" s="79"/>
    </row>
    <row r="47" spans="4:14" ht="15" customHeight="1">
      <c r="D47" s="215"/>
      <c r="E47" s="35" t="s">
        <v>344</v>
      </c>
      <c r="F47" s="38"/>
      <c r="G47" s="38" t="str">
        <f>traduzioni!A51</f>
        <v>Min. Penetrationslänge (Holz)</v>
      </c>
      <c r="H47" s="82">
        <f>2.3*(SCREWS!D40*1000/(SCREWS!D41*SCREWS!E23))^0.5</f>
        <v>60.502178096441845</v>
      </c>
      <c r="I47" s="35"/>
      <c r="J47" s="35" t="s">
        <v>35</v>
      </c>
      <c r="K47" s="79" t="str">
        <f>IF(H74&gt;(H47),"leff&gt;leff,min","leff&lt;leff,min")</f>
        <v>leff&gt;leff,min</v>
      </c>
      <c r="L47" t="s">
        <v>345</v>
      </c>
    </row>
    <row r="48" spans="4:14" ht="15" customHeight="1">
      <c r="D48" s="215"/>
      <c r="E48" s="35" t="s">
        <v>221</v>
      </c>
      <c r="F48" s="38"/>
      <c r="G48" s="38" t="str">
        <f>traduzioni!A52</f>
        <v>Randabstand a4t</v>
      </c>
      <c r="H48" s="177">
        <v>45</v>
      </c>
      <c r="I48" s="35"/>
      <c r="J48" s="35" t="s">
        <v>35</v>
      </c>
      <c r="K48" s="79"/>
      <c r="N48" s="29"/>
    </row>
    <row r="49" spans="4:19" ht="15" customHeight="1">
      <c r="D49" s="216"/>
      <c r="E49" s="73" t="s">
        <v>156</v>
      </c>
      <c r="F49" s="74"/>
      <c r="G49" s="74" t="str">
        <f>traduzioni!A53</f>
        <v>Minimaler Randabstand a4t</v>
      </c>
      <c r="H49" s="73">
        <f>6*H38</f>
        <v>66</v>
      </c>
      <c r="I49" s="73"/>
      <c r="J49" s="73" t="s">
        <v>35</v>
      </c>
      <c r="K49" s="80" t="str">
        <f>IF(H48&lt;H49,"a4&lt;a4min","a4&gt;a4min")</f>
        <v>a4&lt;a4min</v>
      </c>
      <c r="L49" t="s">
        <v>343</v>
      </c>
      <c r="N49" s="29"/>
    </row>
    <row r="50" spans="4:19" ht="15" customHeight="1"/>
    <row r="51" spans="4:19" ht="15" customHeight="1">
      <c r="D51" s="214" t="str">
        <f>traduzioni!A54</f>
        <v>Beton</v>
      </c>
      <c r="E51" s="70"/>
      <c r="F51" s="71"/>
      <c r="G51" s="71" t="str">
        <f>traduzioni!A55</f>
        <v>Klasse Beton</v>
      </c>
      <c r="H51" s="179" t="s">
        <v>64</v>
      </c>
      <c r="I51" s="70"/>
      <c r="J51" s="70"/>
      <c r="K51" s="83" t="str">
        <f>IF(H51="C20/25","NOT COVERED BY ETA","OK")</f>
        <v>OK</v>
      </c>
      <c r="P51" s="9"/>
      <c r="Q51" s="9"/>
      <c r="R51" s="9"/>
    </row>
    <row r="52" spans="4:19" ht="15" customHeight="1">
      <c r="D52" s="215"/>
      <c r="E52" s="35" t="s">
        <v>159</v>
      </c>
      <c r="F52" s="38"/>
      <c r="G52" s="38" t="str">
        <f>traduzioni!A56</f>
        <v>Durchmesser Bügel</v>
      </c>
      <c r="H52" s="177">
        <v>6</v>
      </c>
      <c r="I52" s="35"/>
      <c r="J52" s="35" t="s">
        <v>35</v>
      </c>
      <c r="K52" s="79"/>
      <c r="P52" s="9"/>
      <c r="Q52" s="9"/>
      <c r="R52" s="9"/>
    </row>
    <row r="53" spans="4:19" ht="15" customHeight="1">
      <c r="D53" s="215"/>
      <c r="E53" s="35" t="s">
        <v>160</v>
      </c>
      <c r="F53" s="38"/>
      <c r="G53" s="38" t="str">
        <f>traduzioni!A57</f>
        <v>Durchmesser Längseisen</v>
      </c>
      <c r="H53" s="177">
        <v>8</v>
      </c>
      <c r="I53" s="35"/>
      <c r="J53" s="35" t="s">
        <v>35</v>
      </c>
      <c r="K53" s="79"/>
    </row>
    <row r="54" spans="4:19" ht="15" customHeight="1">
      <c r="D54" s="215"/>
      <c r="E54" s="35" t="s">
        <v>161</v>
      </c>
      <c r="F54" s="38"/>
      <c r="G54" s="38" t="str">
        <f>traduzioni!A58</f>
        <v>Korndurchmesser (*)</v>
      </c>
      <c r="H54" s="177">
        <v>10</v>
      </c>
      <c r="I54" s="35"/>
      <c r="J54" s="35" t="s">
        <v>35</v>
      </c>
      <c r="K54" s="230" t="str">
        <f>traduzioni!A221</f>
        <v>(*) Bei Aggregatgrößen von mehr als 15 mm die Bedingungen für den Betonguss bewerten</v>
      </c>
      <c r="P54" s="9"/>
      <c r="Q54" s="9"/>
      <c r="R54" s="9"/>
    </row>
    <row r="55" spans="4:19" ht="15" customHeight="1">
      <c r="D55" s="215"/>
      <c r="E55" s="35"/>
      <c r="F55" s="38"/>
      <c r="G55" s="38" t="str">
        <f>traduzioni!A59</f>
        <v>Klasse Umweltexposition</v>
      </c>
      <c r="H55" s="35" t="str">
        <f>CONCRETE!G9</f>
        <v>XC1</v>
      </c>
      <c r="I55" s="35"/>
      <c r="J55" s="35"/>
      <c r="K55" s="230"/>
      <c r="P55" s="9"/>
      <c r="Q55" s="4"/>
      <c r="R55" s="9"/>
    </row>
    <row r="56" spans="4:19" ht="15" customHeight="1">
      <c r="D56" s="215"/>
      <c r="E56" s="35" t="s">
        <v>162</v>
      </c>
      <c r="F56" s="38"/>
      <c r="G56" s="38" t="str">
        <f>traduzioni!A60</f>
        <v>Min. Betondeckung Bügel</v>
      </c>
      <c r="H56" s="35">
        <f>CONCRETE!H17</f>
        <v>20</v>
      </c>
      <c r="I56" s="35"/>
      <c r="J56" s="35" t="s">
        <v>35</v>
      </c>
      <c r="K56" s="230"/>
      <c r="Q56" s="2"/>
    </row>
    <row r="57" spans="4:19" ht="15" customHeight="1">
      <c r="D57" s="215"/>
      <c r="E57" s="35" t="s">
        <v>163</v>
      </c>
      <c r="F57" s="38"/>
      <c r="G57" s="38" t="str">
        <f>traduzioni!A61</f>
        <v>Min. Betondeckung Längsbewehrung</v>
      </c>
      <c r="H57" s="35">
        <f>CONCRETE!H18</f>
        <v>20</v>
      </c>
      <c r="I57" s="35"/>
      <c r="J57" s="35" t="s">
        <v>35</v>
      </c>
      <c r="K57" s="79"/>
      <c r="Q57" s="3"/>
      <c r="R57" s="2"/>
      <c r="S57" s="2"/>
    </row>
    <row r="58" spans="4:19" ht="15" customHeight="1">
      <c r="D58" s="215"/>
      <c r="E58" s="35" t="s">
        <v>128</v>
      </c>
      <c r="F58" s="38"/>
      <c r="G58" s="38" t="str">
        <f>traduzioni!A62</f>
        <v>Abstand Achse Längseisen</v>
      </c>
      <c r="H58" s="35">
        <f>CONCRETE!H20</f>
        <v>24</v>
      </c>
      <c r="I58" s="35"/>
      <c r="J58" s="35" t="s">
        <v>35</v>
      </c>
      <c r="K58" s="79"/>
    </row>
    <row r="59" spans="4:19" ht="15" customHeight="1">
      <c r="D59" s="216"/>
      <c r="E59" s="73" t="s">
        <v>405</v>
      </c>
      <c r="F59" s="74"/>
      <c r="G59" s="74" t="str">
        <f>traduzioni!A63</f>
        <v>Min. Breite Aufkantung</v>
      </c>
      <c r="H59" s="73">
        <f>H58+H58+H46</f>
        <v>202</v>
      </c>
      <c r="I59" s="73"/>
      <c r="J59" s="73" t="s">
        <v>35</v>
      </c>
      <c r="K59" s="80"/>
    </row>
    <row r="60" spans="4:19" ht="15" customHeight="1"/>
    <row r="61" spans="4:19" ht="15" customHeight="1">
      <c r="D61" s="214" t="str">
        <f>traduzioni!A64</f>
        <v>Festigkeiten</v>
      </c>
      <c r="E61" s="70" t="s">
        <v>165</v>
      </c>
      <c r="F61" s="71"/>
      <c r="G61" s="71" t="str">
        <f>traduzioni!A65</f>
        <v>Druckfestigkeit Holz (Design)</v>
      </c>
      <c r="H61" s="84">
        <f>CLT!N18</f>
        <v>16.8</v>
      </c>
      <c r="I61" s="70"/>
      <c r="J61" s="70" t="s">
        <v>100</v>
      </c>
      <c r="K61" s="75"/>
    </row>
    <row r="62" spans="4:19" ht="15" customHeight="1">
      <c r="D62" s="215"/>
      <c r="E62" s="35" t="s">
        <v>167</v>
      </c>
      <c r="F62" s="38"/>
      <c r="G62" s="38" t="str">
        <f>traduzioni!A66</f>
        <v>Druckfestigkeit Beton (Design)</v>
      </c>
      <c r="H62" s="81">
        <f>CONCRETE!H30</f>
        <v>14.166666666666666</v>
      </c>
      <c r="I62" s="35"/>
      <c r="J62" s="35" t="s">
        <v>100</v>
      </c>
      <c r="K62" s="79"/>
    </row>
    <row r="63" spans="4:19" ht="15" customHeight="1">
      <c r="D63" s="215"/>
      <c r="E63" s="35" t="s">
        <v>166</v>
      </c>
      <c r="F63" s="38"/>
      <c r="G63" s="38" t="str">
        <f>traduzioni!A67</f>
        <v>min(T,CA)</v>
      </c>
      <c r="H63" s="81">
        <f>MIN(H61,H62)</f>
        <v>14.166666666666666</v>
      </c>
      <c r="I63" s="35"/>
      <c r="J63" s="35" t="s">
        <v>100</v>
      </c>
      <c r="K63" s="79"/>
    </row>
    <row r="64" spans="4:19" ht="15" customHeight="1">
      <c r="D64" s="216"/>
      <c r="E64" s="73" t="s">
        <v>168</v>
      </c>
      <c r="F64" s="74"/>
      <c r="G64" s="74" t="str">
        <f>traduzioni!A68</f>
        <v>Verbundspannung</v>
      </c>
      <c r="H64" s="73">
        <f>VLOOKUP(H36,SCREWS!E11:H14,4,FALSE)</f>
        <v>12.5</v>
      </c>
      <c r="I64" s="73"/>
      <c r="J64" s="73" t="s">
        <v>100</v>
      </c>
      <c r="K64" s="80"/>
    </row>
    <row r="65" spans="4:46" ht="15" customHeight="1">
      <c r="E65" s="35"/>
      <c r="F65" s="38"/>
      <c r="G65" s="38"/>
      <c r="H65" s="35"/>
      <c r="I65" s="35"/>
      <c r="J65" s="35"/>
      <c r="K65" s="38"/>
    </row>
    <row r="66" spans="4:46" ht="15" customHeight="1">
      <c r="D66" s="214" t="str">
        <f>traduzioni!A69</f>
        <v>Wirksame Geometrie</v>
      </c>
      <c r="E66" s="70"/>
      <c r="F66" s="71"/>
      <c r="G66" s="71" t="str">
        <f>traduzioni!A70</f>
        <v>Abstand Achse Längseisen</v>
      </c>
      <c r="H66" s="70">
        <f>H58+IF(H42="N",(0),IF(H42="Y",(I42)))</f>
        <v>24</v>
      </c>
      <c r="I66" s="70"/>
      <c r="J66" s="70" t="s">
        <v>35</v>
      </c>
      <c r="K66" s="75"/>
    </row>
    <row r="67" spans="4:46" ht="15" customHeight="1">
      <c r="D67" s="215"/>
      <c r="E67" s="35" t="s">
        <v>164</v>
      </c>
      <c r="F67" s="38"/>
      <c r="G67" s="38" t="str">
        <f>traduzioni!A71</f>
        <v>Wirksame Breite Betonbalken</v>
      </c>
      <c r="H67" s="177">
        <v>200</v>
      </c>
      <c r="I67" s="35"/>
      <c r="J67" s="35" t="s">
        <v>35</v>
      </c>
      <c r="K67" s="79"/>
    </row>
    <row r="68" spans="4:46" ht="15" customHeight="1">
      <c r="D68" s="215"/>
      <c r="E68" s="35"/>
      <c r="F68" s="38"/>
      <c r="G68" s="38" t="str">
        <f>traduzioni!A72</f>
        <v>Länge Überlappung</v>
      </c>
      <c r="H68" s="35">
        <f>H67-2*CONCRETE!M14</f>
        <v>160</v>
      </c>
      <c r="I68" s="35"/>
      <c r="J68" s="35" t="s">
        <v>35</v>
      </c>
      <c r="K68" s="79"/>
    </row>
    <row r="69" spans="4:46" ht="15" customHeight="1">
      <c r="D69" s="215"/>
      <c r="E69" s="35"/>
      <c r="F69" s="38"/>
      <c r="G69" s="38" t="str">
        <f>traduzioni!A73</f>
        <v>Länge Verankerung</v>
      </c>
      <c r="H69" s="35">
        <f>H68+CONCRETE!M14</f>
        <v>180</v>
      </c>
      <c r="I69" s="35"/>
      <c r="J69" s="35"/>
      <c r="K69" s="79"/>
    </row>
    <row r="70" spans="4:46" ht="15" customHeight="1">
      <c r="D70" s="215"/>
      <c r="E70" s="35"/>
      <c r="F70" s="38"/>
      <c r="G70" s="38" t="str">
        <f>traduzioni!A74</f>
        <v>Abstand zur tatsächlichen Kante der Schrauben</v>
      </c>
      <c r="H70" s="35">
        <f>MAX(H48,(H66+H53/2+H38/2))</f>
        <v>45</v>
      </c>
      <c r="I70" s="35"/>
      <c r="J70" s="35" t="s">
        <v>35</v>
      </c>
      <c r="K70" s="79"/>
    </row>
    <row r="71" spans="4:46" ht="15" customHeight="1">
      <c r="D71" s="215"/>
      <c r="E71" s="35"/>
      <c r="F71" s="38"/>
      <c r="G71" s="38" t="str">
        <f>traduzioni!A75</f>
        <v>Überprüfung der Kohärenz Position Schrauben/Bewehrung</v>
      </c>
      <c r="H71" s="35" t="str">
        <f>IF(H70&gt;=I71,"YES &gt;","NO, INCREASE a4 to")</f>
        <v>YES &gt;</v>
      </c>
      <c r="I71" s="35">
        <f>IF(H42="N",(H66+H53/2+H38/2+'CLT EDGE DISTANCE'!D15),IF(H42="Y",(H66+H53/2+H38/2+'CLT EDGE DISTANCE'!D15)))</f>
        <v>35.5</v>
      </c>
      <c r="J71" s="35" t="s">
        <v>35</v>
      </c>
      <c r="K71" s="229" t="str">
        <f>traduzioni!A81</f>
        <v>(*) Es wird angenommen, dass die Schraube im Betonbalken bis zum gegenüberliegenden Betonstahl hineinreicht</v>
      </c>
    </row>
    <row r="72" spans="4:46" ht="15" customHeight="1">
      <c r="D72" s="215"/>
      <c r="E72" s="35" t="s">
        <v>248</v>
      </c>
      <c r="F72" s="38"/>
      <c r="G72" s="85" t="str">
        <f>traduzioni!A76</f>
        <v>Abstand Schrauben oberer Rand</v>
      </c>
      <c r="H72" s="86">
        <f>H33-H70</f>
        <v>215</v>
      </c>
      <c r="I72" s="86"/>
      <c r="J72" s="86" t="s">
        <v>35</v>
      </c>
      <c r="K72" s="229"/>
    </row>
    <row r="73" spans="4:46" ht="15" customHeight="1">
      <c r="D73" s="215"/>
      <c r="E73" s="35" t="s">
        <v>249</v>
      </c>
      <c r="F73" s="38"/>
      <c r="G73" s="38" t="str">
        <f>traduzioni!A77</f>
        <v>Länge Schraubengewinde BET(*)</v>
      </c>
      <c r="H73" s="35">
        <f>H67-CONCRETE!M14</f>
        <v>180</v>
      </c>
      <c r="I73" s="35"/>
      <c r="J73" s="35" t="s">
        <v>35</v>
      </c>
      <c r="K73" s="229"/>
      <c r="X73" s="63"/>
      <c r="Y73" s="63"/>
      <c r="Z73" s="63"/>
      <c r="AA73" s="63"/>
      <c r="AB73" s="63"/>
      <c r="AC73" s="63"/>
      <c r="AD73" s="63"/>
      <c r="AE73" s="63"/>
      <c r="AF73" s="63"/>
      <c r="AG73" s="63"/>
      <c r="AH73" s="63"/>
    </row>
    <row r="74" spans="4:46" ht="15" customHeight="1">
      <c r="D74" s="215"/>
      <c r="E74" s="35" t="s">
        <v>88</v>
      </c>
      <c r="F74" s="38"/>
      <c r="G74" s="38" t="str">
        <f>traduzioni!A78</f>
        <v>Länge Schraubengewinde Holz</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5"/>
      <c r="E75" s="35" t="s">
        <v>237</v>
      </c>
      <c r="F75" s="38"/>
      <c r="G75" s="38" t="str">
        <f>traduzioni!A79</f>
        <v>Wirksame Länge Schraubengewinde Holz</v>
      </c>
      <c r="H75" s="35">
        <f>H74-10</f>
        <v>260</v>
      </c>
      <c r="I75" s="35"/>
      <c r="J75" s="35" t="s">
        <v>35</v>
      </c>
      <c r="K75" s="79"/>
      <c r="AK75" s="64"/>
      <c r="AL75" s="220" t="s">
        <v>97</v>
      </c>
      <c r="AM75" s="220"/>
      <c r="AN75" s="220"/>
      <c r="AO75" s="220"/>
      <c r="AP75" s="64"/>
      <c r="AQ75" s="220" t="s">
        <v>664</v>
      </c>
      <c r="AR75" s="220"/>
      <c r="AS75" s="220"/>
      <c r="AT75" s="220"/>
    </row>
    <row r="76" spans="4:46" ht="15" customHeight="1">
      <c r="D76" s="216"/>
      <c r="E76" s="73" t="s">
        <v>230</v>
      </c>
      <c r="F76" s="74"/>
      <c r="G76" s="74" t="str">
        <f>traduzioni!A80</f>
        <v>Abstand zwischen oberen/unteren Schrauben</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4" t="str">
        <f>traduzioni!A82</f>
        <v>Überprüfung</v>
      </c>
      <c r="E78" s="70" t="s">
        <v>383</v>
      </c>
      <c r="F78" s="71"/>
      <c r="G78" s="71" t="str">
        <f>traduzioni!A83</f>
        <v>Max. Wirkung auf einzelne Schraube</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5"/>
      <c r="E79" s="35" t="s">
        <v>169</v>
      </c>
      <c r="F79" s="38"/>
      <c r="G79" s="38" t="str">
        <f>traduzioni!A84</f>
        <v>Axiale Festigkeit einzelne Schraube Seite Holz/Stahl</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5"/>
      <c r="E80" s="96" t="s">
        <v>141</v>
      </c>
      <c r="G80" s="97" t="str">
        <f>traduzioni!A85</f>
        <v xml:space="preserve">Axiale Beanspruchung </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5"/>
      <c r="E81" s="35" t="s">
        <v>421</v>
      </c>
      <c r="G81" s="38" t="str">
        <f>traduzioni!A86</f>
        <v>Max. Scherkraft</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5"/>
      <c r="E82" s="35" t="s">
        <v>170</v>
      </c>
      <c r="F82" s="38"/>
      <c r="G82" s="38" t="str">
        <f>traduzioni!A87</f>
        <v xml:space="preserve">Scherfestigkeit einzelne Schraube </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5"/>
      <c r="E83" s="96" t="s">
        <v>141</v>
      </c>
      <c r="G83" s="97" t="str">
        <f>traduzioni!A88</f>
        <v xml:space="preserve">Scherbeanspruchung </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6"/>
      <c r="E84" s="100" t="s">
        <v>141</v>
      </c>
      <c r="F84" s="13"/>
      <c r="G84" s="101" t="str">
        <f>traduzioni!A89</f>
        <v xml:space="preserve">Kombinierte Scher-Zug-Beanspruchung </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17" t="str">
        <f>traduzioni!A90</f>
        <v>Überprüfung Verankerung Betonseite</v>
      </c>
      <c r="E86" s="134"/>
      <c r="F86" s="10"/>
      <c r="G86" s="71" t="str">
        <f>traduzioni!A91</f>
        <v>Wirksame Länge</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18"/>
      <c r="E87" s="35" t="s">
        <v>139</v>
      </c>
      <c r="F87" s="38"/>
      <c r="G87" s="38" t="str">
        <f>traduzioni!A92</f>
        <v>Min. Länge Verankerung</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18"/>
      <c r="E88" s="96" t="s">
        <v>141</v>
      </c>
      <c r="F88" s="38"/>
      <c r="G88" s="97" t="str">
        <f>traduzioni!A93</f>
        <v xml:space="preserve">Beanspruchung </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18"/>
      <c r="F89" s="38"/>
      <c r="G89" s="38" t="str">
        <f>traduzioni!A94</f>
        <v>Wirksame Länge</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18"/>
      <c r="E90" s="35" t="s">
        <v>144</v>
      </c>
      <c r="F90" s="38"/>
      <c r="G90" s="38" t="str">
        <f>traduzioni!A95</f>
        <v>Min. Länge Überlappung (Beton)</v>
      </c>
      <c r="H90" s="2">
        <f>'CALCOLI STS (slab to slab)'!H106</f>
        <v>154</v>
      </c>
      <c r="J90" s="2" t="s">
        <v>35</v>
      </c>
      <c r="K90" s="12"/>
      <c r="R90" s="4"/>
      <c r="X90" s="64"/>
      <c r="Y90" s="64"/>
      <c r="Z90" s="64"/>
      <c r="AA90" s="64"/>
      <c r="AB90" s="64"/>
      <c r="AC90" s="64"/>
      <c r="AD90" s="64"/>
      <c r="AE90" s="64"/>
      <c r="AF90" s="64"/>
      <c r="AG90" s="64"/>
      <c r="AH90" s="64"/>
    </row>
    <row r="91" spans="4:46" ht="15" customHeight="1">
      <c r="D91" s="219"/>
      <c r="E91" s="100" t="s">
        <v>146</v>
      </c>
      <c r="F91" s="74"/>
      <c r="G91" s="101" t="str">
        <f>traduzioni!A96</f>
        <v>Beanspruchung</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17" t="str">
        <f>traduzioni!A97</f>
        <v>Steifigkeiten</v>
      </c>
      <c r="E93" s="70" t="s">
        <v>252</v>
      </c>
      <c r="F93" s="71"/>
      <c r="G93" s="71" t="str">
        <f>traduzioni!A98</f>
        <v>Scherfestigkeit</v>
      </c>
      <c r="H93" s="139">
        <f>'CALCOLI STS (slab to slab)'!H110</f>
        <v>19283.483171659776</v>
      </c>
      <c r="I93" s="134"/>
      <c r="J93" s="134" t="str">
        <f>'CALCOLI STS (slab to slab)'!J110</f>
        <v>[N/mm/m]</v>
      </c>
      <c r="K93" s="211" t="str">
        <f>traduzioni!A222</f>
        <v>(*) Bei nicht symmetrischer Verbindung mit einer einzelnen Verbindungsebene die Steifigkeit verdoppeln</v>
      </c>
    </row>
    <row r="94" spans="4:46" ht="15" customHeight="1">
      <c r="D94" s="218"/>
      <c r="E94" s="35" t="s">
        <v>270</v>
      </c>
      <c r="F94" s="38"/>
      <c r="G94" s="38" t="str">
        <f>traduzioni!A99</f>
        <v>Axiale Steifigkeit</v>
      </c>
      <c r="H94" s="3">
        <f>'CALCOLI STS (slab to slab)'!H122</f>
        <v>302500</v>
      </c>
      <c r="J94" s="2" t="str">
        <f>'CALCOLI STS (slab to slab)'!J122</f>
        <v>[N/mm/m]</v>
      </c>
      <c r="K94" s="212"/>
      <c r="U94" s="37"/>
      <c r="V94" s="37"/>
      <c r="W94" s="37"/>
      <c r="X94" s="37"/>
    </row>
    <row r="95" spans="4:46" ht="15" customHeight="1">
      <c r="D95" s="219"/>
      <c r="E95" s="73" t="s">
        <v>285</v>
      </c>
      <c r="F95" s="74"/>
      <c r="G95" s="74" t="str">
        <f>traduzioni!A100</f>
        <v>Drehfedersteifigkeit (*)</v>
      </c>
      <c r="H95" s="141">
        <f>'CALCOLI STS (slab to slab)'!H129</f>
        <v>5181.3344755428316</v>
      </c>
      <c r="I95" s="138"/>
      <c r="J95" s="138" t="str">
        <f>'CALCOLI STS (slab to slab)'!J129</f>
        <v>[kNmm/Rad/m]</v>
      </c>
      <c r="K95" s="213"/>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D8:D11"/>
    <mergeCell ref="H11:K11"/>
    <mergeCell ref="H9:K9"/>
    <mergeCell ref="H10:K10"/>
    <mergeCell ref="E2:J6"/>
    <mergeCell ref="AL75:AO75"/>
    <mergeCell ref="AQ75:AT75"/>
    <mergeCell ref="D19:D28"/>
    <mergeCell ref="D30:D34"/>
    <mergeCell ref="D36:D49"/>
    <mergeCell ref="D51:D59"/>
    <mergeCell ref="I34:K34"/>
    <mergeCell ref="H32:J32"/>
    <mergeCell ref="D61:D64"/>
    <mergeCell ref="K71:K73"/>
    <mergeCell ref="K54:K56"/>
    <mergeCell ref="K93:K95"/>
    <mergeCell ref="D13:D15"/>
    <mergeCell ref="D78:D84"/>
    <mergeCell ref="D86:D91"/>
    <mergeCell ref="D93:D95"/>
    <mergeCell ref="D66:D7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disablePrompts="1"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Kurz/Sofort wirkend</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37" t="str">
        <f>CONCATENATE(GEOMETRY!E2," - ",traduzioni!A82)</f>
        <v>BERECHNUNG TC FUSION - Überprüfung</v>
      </c>
      <c r="F63" s="237"/>
      <c r="G63" s="237"/>
      <c r="H63" s="237"/>
      <c r="I63" s="237"/>
      <c r="J63" s="237"/>
      <c r="K63" s="68"/>
      <c r="U63" s="5"/>
      <c r="V63" s="5"/>
      <c r="W63" s="5"/>
      <c r="X63" s="5"/>
      <c r="Y63" s="5"/>
      <c r="Z63" s="5"/>
      <c r="AA63" s="5"/>
      <c r="AB63" s="5"/>
      <c r="AC63" s="5"/>
      <c r="AD63" s="5"/>
      <c r="AE63" s="5"/>
      <c r="AF63" s="5"/>
      <c r="AG63" s="5"/>
      <c r="AH63" s="5"/>
      <c r="AI63" s="5"/>
      <c r="AJ63" s="5"/>
      <c r="AK63" s="5"/>
    </row>
    <row r="64" spans="4:37" ht="12.75" customHeight="1">
      <c r="D64" s="68"/>
      <c r="E64" s="237"/>
      <c r="F64" s="237"/>
      <c r="G64" s="237"/>
      <c r="H64" s="237"/>
      <c r="I64" s="237"/>
      <c r="J64" s="237"/>
      <c r="K64" s="68"/>
      <c r="U64" s="5"/>
      <c r="AI64" s="5"/>
      <c r="AJ64" s="5"/>
      <c r="AK64" s="5"/>
    </row>
    <row r="65" spans="4:37" ht="12.75" customHeight="1">
      <c r="D65" s="68"/>
      <c r="E65" s="237"/>
      <c r="F65" s="237"/>
      <c r="G65" s="237"/>
      <c r="H65" s="237"/>
      <c r="I65" s="237"/>
      <c r="J65" s="237"/>
      <c r="K65" s="68"/>
      <c r="U65" s="5"/>
      <c r="AI65" s="5"/>
      <c r="AJ65" s="5"/>
      <c r="AK65" s="5"/>
    </row>
    <row r="66" spans="4:37" ht="12.75" customHeight="1">
      <c r="D66" s="68"/>
      <c r="E66" s="237"/>
      <c r="F66" s="237"/>
      <c r="G66" s="237"/>
      <c r="H66" s="237"/>
      <c r="I66" s="237"/>
      <c r="J66" s="237"/>
      <c r="K66" s="68"/>
      <c r="U66" s="5"/>
      <c r="AI66" s="5"/>
      <c r="AJ66" s="5"/>
      <c r="AK66" s="5"/>
    </row>
    <row r="67" spans="4:37" ht="12.75" customHeight="1">
      <c r="D67" s="68"/>
      <c r="E67" s="237"/>
      <c r="F67" s="237"/>
      <c r="G67" s="237"/>
      <c r="H67" s="237"/>
      <c r="I67" s="237"/>
      <c r="J67" s="237"/>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4" t="str">
        <f>traduzioni!A101</f>
        <v>Berechnung Nulllinie - Biegung</v>
      </c>
      <c r="E73" s="70" t="s">
        <v>1395</v>
      </c>
      <c r="F73" s="71"/>
      <c r="G73" s="71" t="str">
        <f>traduzioni!A102</f>
        <v xml:space="preserve">Biegesteifigkeit in Bezug auf Schrauben </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5"/>
      <c r="E74" s="35" t="s">
        <v>118</v>
      </c>
      <c r="F74" s="38"/>
      <c r="G74" s="85" t="str">
        <f>traduzioni!A103</f>
        <v xml:space="preserve">Nulllinie </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5"/>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5"/>
      <c r="E76" s="35" t="s">
        <v>117</v>
      </c>
      <c r="F76" s="38"/>
      <c r="G76" s="38" t="str">
        <f>traduzioni!A104</f>
        <v xml:space="preserve">Gedrückter Bereich erste Lamelle </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5"/>
      <c r="E77" s="35" t="s">
        <v>7</v>
      </c>
      <c r="F77" s="38"/>
      <c r="G77" s="38" t="str">
        <f>traduzioni!A105</f>
        <v xml:space="preserve">Gedrückter Bereich zweite Lamelle </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5"/>
      <c r="E78" s="35" t="s">
        <v>114</v>
      </c>
      <c r="F78" s="38"/>
      <c r="G78" s="38" t="str">
        <f>traduzioni!A106</f>
        <v xml:space="preserve">Gedrückter Bereich dritte Lamelle </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5"/>
      <c r="E79" s="35" t="s">
        <v>147</v>
      </c>
      <c r="F79" s="38"/>
      <c r="G79" s="38" t="str">
        <f>traduzioni!A107</f>
        <v xml:space="preserve">Resultierende Position </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6"/>
      <c r="E80" s="73" t="s">
        <v>148</v>
      </c>
      <c r="F80" s="74"/>
      <c r="G80" s="74" t="str">
        <f>traduzioni!A108</f>
        <v>Hebelsarm</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4" t="str">
        <f>traduzioni!A109</f>
        <v>Berechnung Belastungen</v>
      </c>
      <c r="E82" s="70"/>
      <c r="F82" s="71"/>
      <c r="G82" s="71" t="str">
        <f>traduzioni!A110</f>
        <v>Max. Kraft auf alle Schrauben</v>
      </c>
      <c r="H82" s="94">
        <f>(H9/(H80/1000)+H6)</f>
        <v>55.861088014360853</v>
      </c>
      <c r="I82" s="94"/>
      <c r="J82" s="70" t="s">
        <v>55</v>
      </c>
      <c r="K82" s="252" t="str">
        <f>traduzioni!A119</f>
        <v>(*) Es wird angenommen, dass die Zugkraft nur von den Schrauben an der unteren Linie aufgenommen wird</v>
      </c>
      <c r="L82" t="str">
        <f>IF(H10="POS",traduzioni!A120, IF(H10="NEG",traduzioni!A121,"NO"))</f>
        <v>Untere Fasern unter Zugspannung</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5"/>
      <c r="E83" s="35" t="s">
        <v>383</v>
      </c>
      <c r="F83" s="38"/>
      <c r="G83" s="38" t="str">
        <f>traduzioni!A111</f>
        <v>Max. Kraft auf einzelne Schraube (*)</v>
      </c>
      <c r="H83" s="82">
        <f>(H9/(H80/1000)+H6)*((IF(H10="POS",H31, IF(H10="NEG",H30,"NO")))/1000)</f>
        <v>11.172217602872172</v>
      </c>
      <c r="I83" s="81"/>
      <c r="J83" s="35" t="s">
        <v>55</v>
      </c>
      <c r="K83" s="230"/>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5"/>
      <c r="E84" s="35"/>
      <c r="F84" s="38"/>
      <c r="G84" s="38"/>
      <c r="H84" s="35"/>
      <c r="I84" s="35"/>
      <c r="J84" s="35"/>
      <c r="K84" s="230"/>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5"/>
      <c r="E85" s="35" t="s">
        <v>298</v>
      </c>
      <c r="F85" s="38"/>
      <c r="G85" s="38" t="str">
        <f>traduzioni!A112</f>
        <v>Max. Kraft Schrauben in Ebene auf einzelne obere Schraube</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5"/>
      <c r="E86" s="35" t="s">
        <v>299</v>
      </c>
      <c r="F86" s="38"/>
      <c r="G86" s="38" t="str">
        <f>traduzioni!A113</f>
        <v>Max. Kraft Schrauben in Ebene auf einzelne untere Schraube</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5"/>
      <c r="E87" s="35" t="s">
        <v>300</v>
      </c>
      <c r="F87" s="38"/>
      <c r="G87" s="38" t="str">
        <f>traduzioni!A114</f>
        <v>Max. Kraft Schrauben außerhalb Ebene auf einzelne obere Schraube</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5"/>
      <c r="E88" s="35" t="s">
        <v>301</v>
      </c>
      <c r="F88" s="38"/>
      <c r="G88" s="38" t="str">
        <f>traduzioni!A115</f>
        <v>Max. Kraft Schrauben außerhalb Ebene auf einzelne untere Schraube</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5"/>
      <c r="E89" s="35" t="s">
        <v>303</v>
      </c>
      <c r="F89" s="38"/>
      <c r="G89" s="38" t="str">
        <f>traduzioni!A116</f>
        <v>Kombinierte Kraft auf einzelne obere Schraube</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5"/>
      <c r="E90" s="35" t="s">
        <v>302</v>
      </c>
      <c r="F90" s="38"/>
      <c r="G90" s="38" t="str">
        <f>traduzioni!A117</f>
        <v>Kombinierte Kraft auf einzelne untere Schraube</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6"/>
      <c r="E91" s="73"/>
      <c r="F91" s="74"/>
      <c r="G91" s="74" t="str">
        <f>traduzioni!A118</f>
        <v>Max. Scherkraft</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4" t="str">
        <f>traduzioni!A122</f>
        <v>Überprüfung</v>
      </c>
      <c r="E93" s="70" t="s">
        <v>169</v>
      </c>
      <c r="F93" s="71"/>
      <c r="G93" s="71" t="str">
        <f>traduzioni!A123</f>
        <v>Axiale Festigkeit einzelne Schraube Seite Holz/Stahl</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5"/>
      <c r="E94" s="35" t="s">
        <v>170</v>
      </c>
      <c r="F94" s="38"/>
      <c r="G94" s="38" t="str">
        <f>traduzioni!A124</f>
        <v xml:space="preserve">Scherfestigkeit einzelne Schraube </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5"/>
      <c r="E95" s="96" t="s">
        <v>141</v>
      </c>
      <c r="F95" s="38"/>
      <c r="G95" s="97" t="str">
        <f>traduzioni!A125</f>
        <v xml:space="preserve">Axiale Beanspruchung </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5"/>
      <c r="E96" s="96" t="s">
        <v>141</v>
      </c>
      <c r="F96" s="38"/>
      <c r="G96" s="97" t="str">
        <f>traduzioni!A126</f>
        <v xml:space="preserve">Scherbeanspruchung </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6"/>
      <c r="E97" s="100" t="s">
        <v>141</v>
      </c>
      <c r="F97" s="74"/>
      <c r="G97" s="101" t="str">
        <f>traduzioni!A127</f>
        <v xml:space="preserve">Kombinierte Scher-Zug-Beanspruchung </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17" t="str">
        <f>traduzioni!A128</f>
        <v>Überprüfung Verankerung Betonseite</v>
      </c>
      <c r="E99" s="70" t="s">
        <v>136</v>
      </c>
      <c r="F99" s="71"/>
      <c r="G99" s="71" t="str">
        <f>traduzioni!A129</f>
        <v>Geforderte Länge Verankerung</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18"/>
      <c r="E100" s="35" t="s">
        <v>138</v>
      </c>
      <c r="F100" s="38"/>
      <c r="G100" s="38" t="str">
        <f>traduzioni!A130</f>
        <v>Min. Länge Verankerung</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18"/>
      <c r="E101" s="35"/>
      <c r="F101" s="38"/>
      <c r="G101" s="38" t="str">
        <f>traduzioni!A131</f>
        <v>Wirksame Länge</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18"/>
      <c r="E102" s="35" t="s">
        <v>139</v>
      </c>
      <c r="F102" s="38"/>
      <c r="G102" s="38" t="str">
        <f>traduzioni!A132</f>
        <v>Länge Verankerung</v>
      </c>
      <c r="H102" s="35">
        <f>MAX(9*H24,100)</f>
        <v>100</v>
      </c>
      <c r="I102" s="35"/>
      <c r="J102" s="35" t="s">
        <v>35</v>
      </c>
      <c r="K102" s="79"/>
    </row>
    <row r="103" spans="4:37" ht="15" customHeight="1">
      <c r="D103" s="218"/>
      <c r="E103" s="96" t="s">
        <v>141</v>
      </c>
      <c r="F103" s="38"/>
      <c r="G103" s="97" t="str">
        <f>traduzioni!A133</f>
        <v xml:space="preserve">Beanspruchung </v>
      </c>
      <c r="H103" s="98">
        <f>(H102/H101)*100</f>
        <v>55.555555555555557</v>
      </c>
      <c r="I103" s="81"/>
      <c r="J103" s="35" t="s">
        <v>102</v>
      </c>
      <c r="K103" s="79" t="str">
        <f>IF(H103&lt;100,"OK","NO")</f>
        <v>OK</v>
      </c>
      <c r="L103" t="s">
        <v>227</v>
      </c>
    </row>
    <row r="104" spans="4:37" ht="15" customHeight="1">
      <c r="D104" s="218"/>
      <c r="E104" s="35"/>
      <c r="F104" s="38"/>
      <c r="G104" s="38"/>
      <c r="H104" s="35"/>
      <c r="I104" s="35"/>
      <c r="J104" s="35"/>
      <c r="K104" s="79"/>
    </row>
    <row r="105" spans="4:37" ht="15" customHeight="1">
      <c r="D105" s="218"/>
      <c r="E105" s="35" t="s">
        <v>143</v>
      </c>
      <c r="F105" s="38"/>
      <c r="G105" s="38" t="str">
        <f>traduzioni!A134</f>
        <v>Länge Überlappung</v>
      </c>
      <c r="H105" s="81">
        <f>1.5*H100</f>
        <v>41.622859635702824</v>
      </c>
      <c r="I105" s="81"/>
      <c r="J105" s="35" t="s">
        <v>35</v>
      </c>
      <c r="K105" s="79"/>
    </row>
    <row r="106" spans="4:37" ht="15" customHeight="1">
      <c r="D106" s="218"/>
      <c r="E106" s="35" t="s">
        <v>144</v>
      </c>
      <c r="F106" s="38"/>
      <c r="G106" s="38" t="str">
        <f>traduzioni!A135</f>
        <v>Min. Länge Überlappung</v>
      </c>
      <c r="H106" s="35">
        <f>MAX(14*H24,150)</f>
        <v>154</v>
      </c>
      <c r="I106" s="35"/>
      <c r="J106" s="35" t="s">
        <v>35</v>
      </c>
      <c r="K106" s="79"/>
      <c r="L106" t="s">
        <v>339</v>
      </c>
    </row>
    <row r="107" spans="4:37" ht="15" customHeight="1">
      <c r="D107" s="218"/>
      <c r="E107" s="35"/>
      <c r="F107" s="38"/>
      <c r="G107" s="38" t="str">
        <f>traduzioni!A136</f>
        <v>Wirksame Länge</v>
      </c>
      <c r="H107" s="35">
        <f>H54</f>
        <v>160</v>
      </c>
      <c r="I107" s="35"/>
      <c r="J107" s="35" t="s">
        <v>35</v>
      </c>
      <c r="K107" s="79"/>
    </row>
    <row r="108" spans="4:37" ht="15" customHeight="1">
      <c r="D108" s="219"/>
      <c r="E108" s="100" t="s">
        <v>146</v>
      </c>
      <c r="F108" s="74"/>
      <c r="G108" s="101" t="str">
        <f>traduzioni!A137</f>
        <v>Beanspruchung</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4" t="str">
        <f>traduzioni!A138</f>
        <v>Scher-/Biegesteifigkeit</v>
      </c>
      <c r="E110" s="70" t="s">
        <v>252</v>
      </c>
      <c r="F110" s="71"/>
      <c r="G110" s="71" t="str">
        <f>traduzioni!A139</f>
        <v>Scherfestigkeit</v>
      </c>
      <c r="H110" s="94">
        <f>((H32+H33)*SCREWS!D53)/2</f>
        <v>19283.483171659776</v>
      </c>
      <c r="I110" s="84"/>
      <c r="J110" s="70" t="s">
        <v>276</v>
      </c>
      <c r="K110" s="75"/>
      <c r="L110" t="s">
        <v>277</v>
      </c>
    </row>
    <row r="111" spans="4:37" ht="15" customHeight="1">
      <c r="D111" s="215"/>
      <c r="E111" s="35"/>
      <c r="F111" s="38"/>
      <c r="G111" s="38"/>
      <c r="H111" s="35"/>
      <c r="I111" s="35"/>
      <c r="J111" s="35"/>
      <c r="K111" s="79"/>
    </row>
    <row r="112" spans="4:37" ht="15" customHeight="1">
      <c r="D112" s="215"/>
      <c r="E112" s="35"/>
      <c r="F112" s="38"/>
      <c r="G112" s="88" t="str">
        <f>traduzioni!A140</f>
        <v>erste Schicht</v>
      </c>
      <c r="H112" s="38">
        <f>IF(H20="L",Y70,IF(H20="T",Y71))</f>
        <v>40</v>
      </c>
      <c r="I112" s="35"/>
      <c r="J112" s="35" t="s">
        <v>35</v>
      </c>
      <c r="K112" s="79"/>
    </row>
    <row r="113" spans="4:20" ht="15" customHeight="1">
      <c r="D113" s="215"/>
      <c r="E113" s="35"/>
      <c r="F113" s="38"/>
      <c r="G113" s="88" t="str">
        <f>traduzioni!A141</f>
        <v>25 % Stärke</v>
      </c>
      <c r="H113" s="38">
        <f>IF(AND(GEOMETRY!H34="T",H19=160),0.25*(H19-Y70),IF(GEOMETRY!H34="T",0.25*H19-Y70,0.25*H19))</f>
        <v>65</v>
      </c>
      <c r="I113" s="35"/>
      <c r="J113" s="35" t="s">
        <v>35</v>
      </c>
      <c r="K113" s="79"/>
      <c r="T113" t="s">
        <v>255</v>
      </c>
    </row>
    <row r="114" spans="4:20" ht="15" customHeight="1">
      <c r="D114" s="215"/>
      <c r="E114" s="35"/>
      <c r="F114" s="38"/>
      <c r="G114" s="88" t="str">
        <f>traduzioni!A142</f>
        <v>a_t(25%)</v>
      </c>
      <c r="H114" s="89">
        <f>AD87</f>
        <v>20</v>
      </c>
      <c r="I114" s="35"/>
      <c r="J114" s="35"/>
      <c r="K114" s="79"/>
    </row>
    <row r="115" spans="4:20" ht="15" customHeight="1">
      <c r="D115" s="215"/>
      <c r="E115" s="35"/>
      <c r="F115" s="38"/>
      <c r="G115" s="38"/>
      <c r="H115" s="35"/>
      <c r="I115" s="35"/>
      <c r="J115" s="35"/>
      <c r="K115" s="79"/>
    </row>
    <row r="116" spans="4:20" ht="15" customHeight="1">
      <c r="D116" s="215"/>
      <c r="E116" s="35" t="s">
        <v>254</v>
      </c>
      <c r="F116" s="38"/>
      <c r="G116" s="38" t="str">
        <f>traduzioni!A143</f>
        <v>Länge des Bereiches unter Druckspannung Berechnung für Steifigkeit</v>
      </c>
      <c r="H116" s="82">
        <f>MIN(H112,H113)</f>
        <v>40</v>
      </c>
      <c r="I116" s="35"/>
      <c r="J116" s="35" t="s">
        <v>35</v>
      </c>
      <c r="K116" s="79"/>
    </row>
    <row r="117" spans="4:20" ht="15" customHeight="1">
      <c r="D117" s="215"/>
      <c r="E117" s="35" t="s">
        <v>258</v>
      </c>
      <c r="F117" s="38"/>
      <c r="G117" s="38" t="str">
        <f>traduzioni!A144</f>
        <v>Hebelsarm</v>
      </c>
      <c r="H117" s="82">
        <f>IF(GEOMETRY!H34="T",H56-Y70-H116/2,H56-H116/2)</f>
        <v>195</v>
      </c>
      <c r="I117" s="35"/>
      <c r="J117" s="35" t="s">
        <v>35</v>
      </c>
      <c r="K117" s="79"/>
    </row>
    <row r="118" spans="4:20" ht="15" customHeight="1">
      <c r="D118" s="215"/>
      <c r="E118" s="35" t="s">
        <v>260</v>
      </c>
      <c r="F118" s="38"/>
      <c r="G118" s="38" t="str">
        <f>traduzioni!A145</f>
        <v>Bezugsmoment</v>
      </c>
      <c r="H118" s="82">
        <v>1000</v>
      </c>
      <c r="I118" s="35"/>
      <c r="J118" s="35" t="s">
        <v>261</v>
      </c>
      <c r="K118" s="79"/>
    </row>
    <row r="119" spans="4:20" ht="15" customHeight="1">
      <c r="D119" s="215"/>
      <c r="E119" s="35" t="s">
        <v>259</v>
      </c>
      <c r="F119" s="38"/>
      <c r="G119" s="38" t="str">
        <f>traduzioni!A146</f>
        <v>Kraft auf Bezugsschrauben</v>
      </c>
      <c r="H119" s="82">
        <f>H118/(H117/1000)</f>
        <v>5128.2051282051279</v>
      </c>
      <c r="I119" s="35"/>
      <c r="J119" s="35" t="s">
        <v>278</v>
      </c>
      <c r="K119" s="79"/>
      <c r="L119" t="s">
        <v>346</v>
      </c>
    </row>
    <row r="120" spans="4:20" ht="15" customHeight="1">
      <c r="D120" s="215"/>
      <c r="E120" s="35" t="s">
        <v>268</v>
      </c>
      <c r="F120" s="38"/>
      <c r="G120" s="38" t="str">
        <f>traduzioni!A147</f>
        <v>Bezugsbreite</v>
      </c>
      <c r="H120" s="82">
        <v>1000</v>
      </c>
      <c r="I120" s="35"/>
      <c r="J120" s="35" t="s">
        <v>35</v>
      </c>
      <c r="K120" s="79"/>
    </row>
    <row r="121" spans="4:20" ht="15" customHeight="1">
      <c r="D121" s="215"/>
      <c r="E121" s="35" t="s">
        <v>263</v>
      </c>
      <c r="F121" s="38"/>
      <c r="G121" s="38" t="str">
        <f>traduzioni!A148</f>
        <v xml:space="preserve">Druckfestigkeit </v>
      </c>
      <c r="H121" s="82">
        <f>CLT!N15*H120/4</f>
        <v>2750000</v>
      </c>
      <c r="I121" s="35"/>
      <c r="J121" s="35" t="s">
        <v>278</v>
      </c>
      <c r="K121" s="79"/>
      <c r="L121" t="s">
        <v>347</v>
      </c>
    </row>
    <row r="122" spans="4:20" ht="15" customHeight="1">
      <c r="D122" s="215"/>
      <c r="E122" s="35" t="s">
        <v>270</v>
      </c>
      <c r="F122" s="38"/>
      <c r="G122" s="38" t="str">
        <f>traduzioni!A149</f>
        <v>Axiale Steifigkeit</v>
      </c>
      <c r="H122" s="82">
        <f>(25*SCREWS!E23*MIN(20*SCREWS!E23,SCREWS!I30))*(H32+H33)/2</f>
        <v>302500</v>
      </c>
      <c r="I122" s="35"/>
      <c r="J122" s="35" t="s">
        <v>276</v>
      </c>
      <c r="K122" s="79"/>
      <c r="L122" t="s">
        <v>348</v>
      </c>
    </row>
    <row r="123" spans="4:20" ht="15" customHeight="1">
      <c r="D123" s="215"/>
      <c r="E123" s="35" t="s">
        <v>281</v>
      </c>
      <c r="F123" s="38"/>
      <c r="G123" s="38" t="str">
        <f>traduzioni!A150</f>
        <v>Schrauben im Bereich unter Zugspannung</v>
      </c>
      <c r="H123" s="82">
        <f>IF(H10="POS",H33,IF(H10="NEG",H32))</f>
        <v>5</v>
      </c>
      <c r="I123" s="35"/>
      <c r="J123" s="35" t="s">
        <v>275</v>
      </c>
      <c r="K123" s="79"/>
    </row>
    <row r="124" spans="4:20" ht="15" customHeight="1">
      <c r="D124" s="215"/>
      <c r="E124" s="35"/>
      <c r="F124" s="38"/>
      <c r="G124" s="38"/>
      <c r="H124" s="82"/>
      <c r="I124" s="35"/>
      <c r="J124" s="35"/>
      <c r="K124" s="79"/>
    </row>
    <row r="125" spans="4:20" ht="15" customHeight="1">
      <c r="D125" s="215"/>
      <c r="E125" s="35" t="s">
        <v>280</v>
      </c>
      <c r="F125" s="38"/>
      <c r="G125" s="38" t="str">
        <f>traduzioni!A151</f>
        <v>Verformung gedrückter Bereich</v>
      </c>
      <c r="H125" s="90">
        <f>H119/H121</f>
        <v>1.8648018648018648E-3</v>
      </c>
      <c r="I125" s="35"/>
      <c r="J125" s="35" t="s">
        <v>35</v>
      </c>
      <c r="K125" s="79"/>
      <c r="L125" t="s">
        <v>351</v>
      </c>
    </row>
    <row r="126" spans="4:20" ht="15" customHeight="1">
      <c r="D126" s="215"/>
      <c r="E126" s="35" t="s">
        <v>279</v>
      </c>
      <c r="F126" s="38"/>
      <c r="G126" s="38" t="str">
        <f>traduzioni!A152</f>
        <v>Verformung Befestigungen</v>
      </c>
      <c r="H126" s="90">
        <f>(H119)/((H122*2/(H32+H33))*H123)</f>
        <v>1.6952744225471498E-2</v>
      </c>
      <c r="I126" s="35"/>
      <c r="J126" s="35" t="s">
        <v>35</v>
      </c>
      <c r="K126" s="79"/>
      <c r="L126" t="s">
        <v>352</v>
      </c>
    </row>
    <row r="127" spans="4:20" ht="15" customHeight="1">
      <c r="D127" s="215"/>
      <c r="E127" s="35"/>
      <c r="F127" s="38"/>
      <c r="G127" s="38"/>
      <c r="H127" s="82"/>
      <c r="I127" s="35"/>
      <c r="J127" s="35"/>
      <c r="K127" s="212" t="str">
        <f>traduzioni!A222</f>
        <v>(*) Bei nicht symmetrischer Verbindung mit einer einzelnen Verbindungsebene die Steifigkeit verdoppeln</v>
      </c>
    </row>
    <row r="128" spans="4:20" ht="15" customHeight="1">
      <c r="D128" s="215"/>
      <c r="E128" s="104" t="s">
        <v>283</v>
      </c>
      <c r="F128" s="38"/>
      <c r="G128" s="38" t="str">
        <f>traduzioni!A153</f>
        <v>Einzelner Drehwinkel</v>
      </c>
      <c r="H128" s="187">
        <f>ATAN((ABS(H126)+ABS(H125))/(H117))</f>
        <v>9.6500236060829983E-5</v>
      </c>
      <c r="I128" s="35"/>
      <c r="J128" s="35" t="s">
        <v>1425</v>
      </c>
      <c r="K128" s="212"/>
      <c r="L128" t="s">
        <v>350</v>
      </c>
    </row>
    <row r="129" spans="4:12" ht="15" customHeight="1">
      <c r="D129" s="216"/>
      <c r="E129" s="73" t="s">
        <v>285</v>
      </c>
      <c r="F129" s="74"/>
      <c r="G129" s="74" t="str">
        <f>traduzioni!A154</f>
        <v>Drehsteifigkeit (*)</v>
      </c>
      <c r="H129" s="91">
        <f>H118/(2*H128*1000)</f>
        <v>5181.3344755428316</v>
      </c>
      <c r="I129" s="73"/>
      <c r="J129" s="73" t="s">
        <v>1424</v>
      </c>
      <c r="K129" s="213"/>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bearbeitbare Zellen</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Abstand Linie untere Schrauben von der CLT-Kante</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Schalung t</v>
      </c>
      <c r="D12">
        <f>IF(GEOMETRY!H42="N",0,GEOMETRY!I42)</f>
        <v>0</v>
      </c>
      <c r="E12" t="s">
        <v>35</v>
      </c>
      <c r="F12" s="121"/>
    </row>
    <row r="13" spans="2:6" ht="15" customHeight="1">
      <c r="B13" s="120"/>
      <c r="C13" s="68" t="str">
        <f>CONCATENATE(traduzioni!A158," c")</f>
        <v>Position Längseisen c</v>
      </c>
      <c r="D13">
        <f>CONCRETE!H20</f>
        <v>24</v>
      </c>
      <c r="E13" t="s">
        <v>35</v>
      </c>
      <c r="F13" s="121"/>
    </row>
    <row r="14" spans="2:6" ht="15" customHeight="1">
      <c r="B14" s="120"/>
      <c r="C14" s="68" t="str">
        <f>traduzioni!A159</f>
        <v>Längseisen (1/2 Durchm.)</v>
      </c>
      <c r="D14">
        <f>0.5*'CALCOLI STS (slab to slab)'!H38</f>
        <v>4</v>
      </c>
      <c r="E14" t="s">
        <v>35</v>
      </c>
      <c r="F14" s="121"/>
    </row>
    <row r="15" spans="2:6" ht="15" customHeight="1">
      <c r="B15" s="120"/>
      <c r="C15" s="68" t="str">
        <f>traduzioni!A160</f>
        <v>Toleranz bei Biegung der Bügel</v>
      </c>
      <c r="D15" s="182">
        <v>2</v>
      </c>
      <c r="E15" t="s">
        <v>35</v>
      </c>
      <c r="F15" s="121"/>
    </row>
    <row r="16" spans="2:6" ht="15" customHeight="1">
      <c r="B16" s="120"/>
      <c r="C16" s="68" t="str">
        <f>traduzioni!A161</f>
        <v>Schrauben (1/2 Durchm.)</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bearbeitbare Zellen</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Klasse Umweltexposition</v>
      </c>
      <c r="G9" s="182" t="s">
        <v>44</v>
      </c>
      <c r="N9" s="121"/>
      <c r="P9" s="120"/>
      <c r="Q9" s="257" t="str">
        <f>CONCATENATE(traduzioni!A223," [mm]")</f>
        <v>Min. geforderte Betondeckung [mm]</v>
      </c>
      <c r="R9" s="257"/>
      <c r="S9" s="257"/>
      <c r="T9" s="257"/>
      <c r="U9" s="257"/>
      <c r="V9" s="257"/>
      <c r="W9" s="121"/>
    </row>
    <row r="10" spans="2:23" ht="15" customHeight="1">
      <c r="B10" s="120"/>
      <c r="C10" t="str">
        <f>traduzioni!A165</f>
        <v>Konstruktionsklasse</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Min. Betondeckung für die Bügel</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Min. Betondeckung für die Längsstangen</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Min. Betondeckung für die Längsstangen</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bearbeitbare Zellen</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Dauerhaft</v>
      </c>
      <c r="X9">
        <v>0.6</v>
      </c>
    </row>
    <row r="10" spans="5:24" ht="15" customHeight="1">
      <c r="E10" s="120"/>
      <c r="F10" s="106"/>
      <c r="G10" s="106" t="s">
        <v>90</v>
      </c>
      <c r="H10" s="106" t="s">
        <v>90</v>
      </c>
      <c r="I10" s="106" t="s">
        <v>91</v>
      </c>
      <c r="J10" s="106" t="s">
        <v>90</v>
      </c>
      <c r="K10" s="106" t="s">
        <v>90</v>
      </c>
      <c r="P10" s="121"/>
      <c r="W10" t="str">
        <f>traduzioni!A27</f>
        <v>Lang</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Mittel</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Kurz</v>
      </c>
      <c r="X12">
        <v>0.9</v>
      </c>
    </row>
    <row r="13" spans="5:24" ht="15" customHeight="1">
      <c r="E13" s="120"/>
      <c r="F13" s="183" t="s">
        <v>393</v>
      </c>
      <c r="G13" s="182"/>
      <c r="H13" s="182"/>
      <c r="I13" s="182"/>
      <c r="J13" s="182"/>
      <c r="K13" s="182" t="s">
        <v>267</v>
      </c>
      <c r="P13" s="121"/>
      <c r="W13" t="str">
        <f>traduzioni!A30</f>
        <v>Sofort wirkend</v>
      </c>
      <c r="X13">
        <v>1.1000000000000001</v>
      </c>
    </row>
    <row r="14" spans="5:24" ht="15" customHeight="1">
      <c r="E14" s="120"/>
      <c r="M14" t="s">
        <v>89</v>
      </c>
      <c r="N14">
        <f>VLOOKUP($M$9,$F$11:$K$13,4,FALSE)</f>
        <v>380</v>
      </c>
      <c r="O14" t="s">
        <v>91</v>
      </c>
      <c r="P14" s="121"/>
      <c r="W14" t="str">
        <f>traduzioni!A31</f>
        <v>Kurz/Sofort wirkend</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Platten</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bearbeitbare Zellen</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Beiw. Verbindung Holz</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Beiw. Material Stahl</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Beiw. Material Beton</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Axiale Festigkeit - Beton</v>
      </c>
      <c r="C25" s="274"/>
      <c r="D25" s="274"/>
      <c r="E25" s="274"/>
      <c r="F25" s="275"/>
      <c r="G25" s="279" t="str">
        <f>traduzioni!A176</f>
        <v>Axiale Festigkeit - Holz</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Scherfestigkeit - Holz</v>
      </c>
      <c r="C37" s="268"/>
      <c r="D37" s="268"/>
      <c r="E37" s="268"/>
      <c r="F37" s="269"/>
      <c r="G37" s="261" t="str">
        <f>traduzioni!A178</f>
        <v>Scherfestigkeit - Stahl</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Seitensteifigkeit für Einzelschraube</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5791BAE553E54299A2D7AB66547121" ma:contentTypeVersion="23" ma:contentTypeDescription="Create a new document." ma:contentTypeScope="" ma:versionID="3aab9025fafeda542325b3ed8ed00444">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8d421a08fde7be2b1cb7f61c359a4cd0"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Shared With Details" ma:internalName="SharedWithDetails" ma:readOnly="true">
      <xsd:simpleType>
        <xsd:restriction base="dms:Note">
          <xsd:maxLength value="255"/>
        </xsd:restriction>
      </xsd:simpleType>
    </xsd:element>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AE6C08-EAAC-435D-840E-73B6DE56AA5D}">
  <ds:schemaRefs>
    <ds:schemaRef ds:uri="http://schemas.microsoft.com/office/2006/metadata/properties"/>
    <ds:schemaRef ds:uri="http://schemas.microsoft.com/office/infopath/2007/PartnerControls"/>
    <ds:schemaRef ds:uri="http://schemas.microsoft.com/office/2006/documentManagement/types"/>
    <ds:schemaRef ds:uri="http://purl.org/dc/dcmitype/"/>
    <ds:schemaRef ds:uri="f71a907e-b217-416b-8f3e-9f31b26bbae2"/>
    <ds:schemaRef ds:uri="http://purl.org/dc/elements/1.1/"/>
    <ds:schemaRef ds:uri="http://purl.org/dc/terms/"/>
    <ds:schemaRef ds:uri="http://www.w3.org/XML/1998/namespace"/>
    <ds:schemaRef ds:uri="http://schemas.openxmlformats.org/package/2006/metadata/core-properties"/>
    <ds:schemaRef ds:uri="4ac9669e-3ecc-4027-9c07-5729b88496eb"/>
  </ds:schemaRefs>
</ds:datastoreItem>
</file>

<file path=customXml/itemProps2.xml><?xml version="1.0" encoding="utf-8"?>
<ds:datastoreItem xmlns:ds="http://schemas.openxmlformats.org/officeDocument/2006/customXml" ds:itemID="{D851C690-2051-4CC9-AEBD-9A761E20E23D}"/>
</file>

<file path=customXml/itemProps3.xml><?xml version="1.0" encoding="utf-8"?>
<ds:datastoreItem xmlns:ds="http://schemas.openxmlformats.org/officeDocument/2006/customXml" ds:itemID="{E544F5A1-8D22-4C23-B4DE-372356CB0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2026-06-29T15:59:09Z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